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mSephton.SOS-L-004\SaltonSea\Proposals2022\SaltonSeaWaterRecyclingProject\"/>
    </mc:Choice>
  </mc:AlternateContent>
  <bookViews>
    <workbookView xWindow="0" yWindow="0" windowWidth="19200" windowHeight="6765" tabRatio="817" firstSheet="1" activeTab="1"/>
  </bookViews>
  <sheets>
    <sheet name="West Shores Lakes Summary" sheetId="6" r:id="rId1"/>
    <sheet name="West Shores Lakes Timeline" sheetId="7" r:id="rId2"/>
    <sheet name="West Shores Lakes Permits" sheetId="9" r:id="rId3"/>
    <sheet name="West Shore Lakes Berm Estimates" sheetId="4" r:id="rId4"/>
    <sheet name="West Shore Lakes Water Estimate" sheetId="3" r:id="rId5"/>
    <sheet name="West Shore Lakes Pump Estimates" sheetId="2" r:id="rId6"/>
    <sheet name="West Shores Channel Estimates" sheetId="5" r:id="rId7"/>
    <sheet name="Desert Shores Channel Estimates" sheetId="1" r:id="rId8"/>
  </sheets>
  <definedNames>
    <definedName name="_xlnm.Print_Area" localSheetId="7">'Desert Shores Channel Estimates'!$A$1:$Q$48</definedName>
    <definedName name="_xlnm.Print_Area" localSheetId="3">'West Shore Lakes Berm Estimates'!$A$1:$E$76</definedName>
    <definedName name="_xlnm.Print_Area" localSheetId="5">'West Shore Lakes Pump Estimates'!$A$1:$F$36</definedName>
    <definedName name="_xlnm.Print_Area" localSheetId="4">'West Shore Lakes Water Estimate'!$A$1:$H$57</definedName>
    <definedName name="_xlnm.Print_Area" localSheetId="6">'West Shores Channel Estimates'!$A$1:$F$38</definedName>
    <definedName name="_xlnm.Print_Area" localSheetId="2">'West Shores Lakes Permits'!$A$1:$O$15</definedName>
    <definedName name="_xlnm.Print_Area" localSheetId="1">'West Shores Lakes Timeline'!$A$1:$N$60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3" l="1"/>
  <c r="B25" i="3"/>
  <c r="B9" i="1" l="1"/>
  <c r="B7" i="1" l="1"/>
  <c r="B6" i="1"/>
  <c r="B5" i="1"/>
  <c r="B4" i="1"/>
  <c r="B3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B13" i="5" l="1"/>
  <c r="L37" i="6"/>
  <c r="H37" i="6"/>
  <c r="E37" i="6"/>
  <c r="B37" i="6"/>
  <c r="L36" i="6"/>
  <c r="L18" i="6" l="1"/>
  <c r="B67" i="4"/>
  <c r="K15" i="6"/>
  <c r="H15" i="6"/>
  <c r="E15" i="6"/>
  <c r="L15" i="6" s="1"/>
  <c r="B15" i="6"/>
  <c r="M3" i="9"/>
  <c r="B58" i="4"/>
  <c r="B51" i="4"/>
  <c r="B44" i="4"/>
  <c r="B32" i="4"/>
  <c r="B25" i="4"/>
  <c r="B18" i="4"/>
  <c r="B11" i="4"/>
  <c r="J14" i="9"/>
  <c r="G12" i="9"/>
  <c r="G11" i="9"/>
  <c r="G10" i="9"/>
  <c r="G9" i="9"/>
  <c r="E12" i="9"/>
  <c r="E11" i="9"/>
  <c r="E10" i="9"/>
  <c r="E9" i="9"/>
  <c r="E6" i="9"/>
  <c r="E5" i="9"/>
  <c r="E4" i="9"/>
  <c r="E3" i="9"/>
  <c r="B6" i="9" l="1"/>
  <c r="F14" i="9"/>
  <c r="O14" i="9"/>
  <c r="N14" i="9"/>
  <c r="M14" i="9"/>
  <c r="L14" i="9"/>
  <c r="K14" i="9"/>
  <c r="I14" i="9"/>
  <c r="H14" i="9"/>
  <c r="E14" i="9"/>
  <c r="D14" i="9"/>
  <c r="C12" i="9"/>
  <c r="B12" i="9" s="1"/>
  <c r="K33" i="6" s="1"/>
  <c r="C11" i="9"/>
  <c r="B11" i="9" s="1"/>
  <c r="H33" i="6" s="1"/>
  <c r="C10" i="9"/>
  <c r="B10" i="9" s="1"/>
  <c r="E33" i="6" s="1"/>
  <c r="C9" i="9"/>
  <c r="G6" i="9"/>
  <c r="G5" i="9"/>
  <c r="B5" i="9" s="1"/>
  <c r="G4" i="9"/>
  <c r="B4" i="9" s="1"/>
  <c r="G3" i="9"/>
  <c r="B3" i="9" s="1"/>
  <c r="C14" i="9" l="1"/>
  <c r="B9" i="9"/>
  <c r="G14" i="9"/>
  <c r="D14" i="3"/>
  <c r="C45" i="3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B44" i="3"/>
  <c r="B45" i="3" s="1"/>
  <c r="C24" i="2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B24" i="2"/>
  <c r="B25" i="2" s="1"/>
  <c r="B23" i="2"/>
  <c r="C26" i="5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B25" i="5"/>
  <c r="B33" i="6" l="1"/>
  <c r="L33" i="6" s="1"/>
  <c r="B15" i="9"/>
  <c r="B46" i="3"/>
  <c r="B26" i="2"/>
  <c r="B26" i="5"/>
  <c r="D23" i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B47" i="3" l="1"/>
  <c r="B27" i="2"/>
  <c r="B27" i="5"/>
  <c r="B48" i="3" l="1"/>
  <c r="B28" i="2"/>
  <c r="B28" i="5"/>
  <c r="B75" i="4"/>
  <c r="B76" i="4"/>
  <c r="B69" i="4"/>
  <c r="B71" i="4"/>
  <c r="B70" i="4"/>
  <c r="B35" i="4"/>
  <c r="B36" i="4" s="1"/>
  <c r="B34" i="4"/>
  <c r="B74" i="4"/>
  <c r="B49" i="3" l="1"/>
  <c r="B29" i="2"/>
  <c r="B29" i="5"/>
  <c r="D53" i="4"/>
  <c r="D46" i="4"/>
  <c r="D49" i="4" s="1"/>
  <c r="B30" i="4"/>
  <c r="D27" i="4"/>
  <c r="D20" i="4"/>
  <c r="D13" i="4"/>
  <c r="B3" i="4"/>
  <c r="D60" i="4"/>
  <c r="D2" i="4"/>
  <c r="B2" i="4" s="1"/>
  <c r="B42" i="4" s="1"/>
  <c r="D6" i="4"/>
  <c r="D39" i="4"/>
  <c r="B61" i="4"/>
  <c r="B62" i="4"/>
  <c r="B50" i="3" l="1"/>
  <c r="B30" i="2"/>
  <c r="B30" i="5"/>
  <c r="B56" i="4"/>
  <c r="B49" i="4"/>
  <c r="D56" i="4"/>
  <c r="B29" i="4"/>
  <c r="D29" i="4" s="1"/>
  <c r="D31" i="4" s="1"/>
  <c r="B48" i="4"/>
  <c r="B55" i="4"/>
  <c r="D30" i="4"/>
  <c r="B15" i="4"/>
  <c r="D23" i="4"/>
  <c r="B22" i="4"/>
  <c r="B23" i="4"/>
  <c r="B16" i="4"/>
  <c r="D16" i="4"/>
  <c r="B65" i="4"/>
  <c r="B9" i="4"/>
  <c r="B8" i="4"/>
  <c r="D65" i="4"/>
  <c r="D42" i="4"/>
  <c r="D9" i="4"/>
  <c r="B41" i="4"/>
  <c r="B64" i="4"/>
  <c r="D64" i="4" s="1"/>
  <c r="D66" i="4" s="1"/>
  <c r="D11" i="3"/>
  <c r="D10" i="3"/>
  <c r="D9" i="3"/>
  <c r="D8" i="3"/>
  <c r="D7" i="3"/>
  <c r="D6" i="3"/>
  <c r="D5" i="3"/>
  <c r="B22" i="6" l="1"/>
  <c r="K4" i="6"/>
  <c r="E4" i="6"/>
  <c r="H22" i="6"/>
  <c r="E22" i="6"/>
  <c r="H4" i="6"/>
  <c r="B5" i="5"/>
  <c r="B3" i="5"/>
  <c r="B4" i="5"/>
  <c r="B4" i="6"/>
  <c r="L4" i="6" s="1"/>
  <c r="B2" i="5"/>
  <c r="B51" i="3"/>
  <c r="B31" i="2"/>
  <c r="B31" i="5"/>
  <c r="B17" i="4"/>
  <c r="D15" i="4"/>
  <c r="D17" i="4" s="1"/>
  <c r="B57" i="4"/>
  <c r="D55" i="4"/>
  <c r="D57" i="4" s="1"/>
  <c r="B31" i="4"/>
  <c r="B50" i="4"/>
  <c r="D48" i="4"/>
  <c r="D50" i="4" s="1"/>
  <c r="B24" i="4"/>
  <c r="D22" i="4"/>
  <c r="D24" i="4" s="1"/>
  <c r="D41" i="4"/>
  <c r="D43" i="4" s="1"/>
  <c r="B43" i="4"/>
  <c r="D8" i="4"/>
  <c r="D10" i="4" s="1"/>
  <c r="B10" i="4"/>
  <c r="B66" i="4"/>
  <c r="B3" i="2"/>
  <c r="B4" i="3"/>
  <c r="B16" i="3"/>
  <c r="B22" i="3" s="1"/>
  <c r="B5" i="2" l="1"/>
  <c r="B11" i="2" s="1"/>
  <c r="B6" i="5"/>
  <c r="B13" i="3"/>
  <c r="B2" i="2" s="1"/>
  <c r="B4" i="2" s="1"/>
  <c r="D4" i="3"/>
  <c r="K22" i="6" s="1"/>
  <c r="L22" i="6" s="1"/>
  <c r="B52" i="3"/>
  <c r="B32" i="2"/>
  <c r="B32" i="5"/>
  <c r="B7" i="2" l="1"/>
  <c r="B10" i="2"/>
  <c r="B9" i="2"/>
  <c r="B8" i="2"/>
  <c r="B12" i="5"/>
  <c r="B11" i="5"/>
  <c r="B10" i="5"/>
  <c r="B9" i="5"/>
  <c r="B15" i="3"/>
  <c r="D13" i="3"/>
  <c r="B53" i="3"/>
  <c r="B33" i="2"/>
  <c r="B33" i="5"/>
  <c r="B20" i="3" l="1"/>
  <c r="B18" i="3"/>
  <c r="B13" i="2"/>
  <c r="B14" i="2" s="1"/>
  <c r="B16" i="2"/>
  <c r="B17" i="2" s="1"/>
  <c r="B18" i="5"/>
  <c r="B19" i="5" s="1"/>
  <c r="B15" i="5"/>
  <c r="B16" i="5" s="1"/>
  <c r="B19" i="3"/>
  <c r="B21" i="3"/>
  <c r="B54" i="3"/>
  <c r="B34" i="2"/>
  <c r="B34" i="5"/>
  <c r="B37" i="3" l="1"/>
  <c r="B35" i="3"/>
  <c r="B20" i="2"/>
  <c r="B19" i="2"/>
  <c r="B22" i="5"/>
  <c r="B21" i="5"/>
  <c r="E25" i="5" s="1"/>
  <c r="F25" i="5" s="1"/>
  <c r="B38" i="3"/>
  <c r="E23" i="2"/>
  <c r="F23" i="2" s="1"/>
  <c r="B55" i="3"/>
  <c r="B35" i="2"/>
  <c r="B35" i="5"/>
  <c r="B27" i="3" l="1"/>
  <c r="B26" i="3"/>
  <c r="E31" i="5"/>
  <c r="F31" i="5" s="1"/>
  <c r="B41" i="3"/>
  <c r="E52" i="3" s="1"/>
  <c r="F52" i="3" s="1"/>
  <c r="G52" i="3" s="1"/>
  <c r="B40" i="3"/>
  <c r="E32" i="5"/>
  <c r="F32" i="5" s="1"/>
  <c r="E33" i="5"/>
  <c r="F33" i="5" s="1"/>
  <c r="E29" i="5"/>
  <c r="F29" i="5" s="1"/>
  <c r="E35" i="5"/>
  <c r="F35" i="5" s="1"/>
  <c r="E34" i="5"/>
  <c r="F34" i="5" s="1"/>
  <c r="E26" i="5"/>
  <c r="F26" i="5" s="1"/>
  <c r="E30" i="5"/>
  <c r="F30" i="5" s="1"/>
  <c r="E27" i="5"/>
  <c r="F27" i="5" s="1"/>
  <c r="E28" i="5"/>
  <c r="F28" i="5" s="1"/>
  <c r="E36" i="2"/>
  <c r="E34" i="2"/>
  <c r="F34" i="2" s="1"/>
  <c r="E31" i="2"/>
  <c r="F31" i="2" s="1"/>
  <c r="E35" i="2"/>
  <c r="F35" i="2" s="1"/>
  <c r="E29" i="2"/>
  <c r="F29" i="2" s="1"/>
  <c r="E28" i="2"/>
  <c r="F28" i="2" s="1"/>
  <c r="E33" i="2"/>
  <c r="F33" i="2" s="1"/>
  <c r="E27" i="2"/>
  <c r="F27" i="2" s="1"/>
  <c r="E32" i="2"/>
  <c r="F32" i="2" s="1"/>
  <c r="E26" i="2"/>
  <c r="F26" i="2" s="1"/>
  <c r="E24" i="2"/>
  <c r="F24" i="2" s="1"/>
  <c r="E25" i="2"/>
  <c r="F25" i="2" s="1"/>
  <c r="E30" i="2"/>
  <c r="F30" i="2" s="1"/>
  <c r="B56" i="3"/>
  <c r="B36" i="2"/>
  <c r="B36" i="5"/>
  <c r="B31" i="3" l="1"/>
  <c r="B29" i="3"/>
  <c r="B32" i="3"/>
  <c r="E54" i="3"/>
  <c r="F54" i="3" s="1"/>
  <c r="G54" i="3" s="1"/>
  <c r="E50" i="3"/>
  <c r="F50" i="3" s="1"/>
  <c r="G50" i="3" s="1"/>
  <c r="E56" i="3"/>
  <c r="F56" i="3" s="1"/>
  <c r="G56" i="3" s="1"/>
  <c r="E46" i="3"/>
  <c r="F46" i="3" s="1"/>
  <c r="G46" i="3" s="1"/>
  <c r="E36" i="5"/>
  <c r="F36" i="5" s="1"/>
  <c r="F36" i="2"/>
  <c r="E47" i="3"/>
  <c r="F47" i="3" s="1"/>
  <c r="G47" i="3" s="1"/>
  <c r="E53" i="3"/>
  <c r="F53" i="3" s="1"/>
  <c r="G53" i="3" s="1"/>
  <c r="E45" i="3"/>
  <c r="F45" i="3" s="1"/>
  <c r="G45" i="3" s="1"/>
  <c r="E48" i="3"/>
  <c r="F48" i="3" s="1"/>
  <c r="G48" i="3" s="1"/>
  <c r="E51" i="3"/>
  <c r="F51" i="3" s="1"/>
  <c r="G51" i="3" s="1"/>
  <c r="E49" i="3"/>
  <c r="F49" i="3" s="1"/>
  <c r="G49" i="3" s="1"/>
  <c r="E55" i="3"/>
  <c r="F55" i="3" s="1"/>
  <c r="G55" i="3" s="1"/>
  <c r="E44" i="3"/>
  <c r="F44" i="3" s="1"/>
  <c r="G44" i="3" s="1"/>
  <c r="B57" i="3"/>
  <c r="B37" i="5"/>
  <c r="B10" i="1"/>
  <c r="B33" i="3" l="1"/>
  <c r="B34" i="3"/>
  <c r="F9" i="3"/>
  <c r="H16" i="6" s="1"/>
  <c r="F8" i="3"/>
  <c r="E34" i="6" s="1"/>
  <c r="F7" i="3"/>
  <c r="E16" i="6" s="1"/>
  <c r="F6" i="3"/>
  <c r="B34" i="6" s="1"/>
  <c r="L34" i="6" s="1"/>
  <c r="F5" i="3"/>
  <c r="B16" i="6" s="1"/>
  <c r="F4" i="3"/>
  <c r="K34" i="6" s="1"/>
  <c r="F11" i="3"/>
  <c r="H34" i="6" s="1"/>
  <c r="F10" i="3"/>
  <c r="K16" i="6" s="1"/>
  <c r="G8" i="3"/>
  <c r="G9" i="3"/>
  <c r="G6" i="3"/>
  <c r="G7" i="3"/>
  <c r="G4" i="3"/>
  <c r="G5" i="3"/>
  <c r="G10" i="3"/>
  <c r="G11" i="3"/>
  <c r="B12" i="1"/>
  <c r="B13" i="1" s="1"/>
  <c r="B16" i="1" s="1"/>
  <c r="E37" i="5"/>
  <c r="F37" i="5" s="1"/>
  <c r="E57" i="3"/>
  <c r="F57" i="3" s="1"/>
  <c r="G57" i="3" s="1"/>
  <c r="B38" i="5"/>
  <c r="L16" i="6" l="1"/>
  <c r="K48" i="1"/>
  <c r="K46" i="1"/>
  <c r="K44" i="1"/>
  <c r="K42" i="1"/>
  <c r="K40" i="1"/>
  <c r="K38" i="1"/>
  <c r="K36" i="1"/>
  <c r="K47" i="1"/>
  <c r="K45" i="1"/>
  <c r="K43" i="1"/>
  <c r="K41" i="1"/>
  <c r="K39" i="1"/>
  <c r="K37" i="1"/>
  <c r="K35" i="1"/>
  <c r="B15" i="1"/>
  <c r="E38" i="5"/>
  <c r="F38" i="5" s="1"/>
  <c r="H4" i="3"/>
  <c r="K35" i="6" s="1"/>
  <c r="H5" i="3"/>
  <c r="B17" i="6" s="1"/>
  <c r="H10" i="3"/>
  <c r="K17" i="6" s="1"/>
  <c r="H9" i="3"/>
  <c r="H17" i="6" s="1"/>
  <c r="H7" i="3"/>
  <c r="E17" i="6" s="1"/>
  <c r="H8" i="3"/>
  <c r="E35" i="6" s="1"/>
  <c r="H11" i="3"/>
  <c r="H35" i="6" s="1"/>
  <c r="H6" i="3"/>
  <c r="B35" i="6" s="1"/>
  <c r="G48" i="1" l="1"/>
  <c r="G46" i="1"/>
  <c r="G44" i="1"/>
  <c r="G42" i="1"/>
  <c r="G40" i="1"/>
  <c r="G38" i="1"/>
  <c r="G36" i="1"/>
  <c r="G47" i="1"/>
  <c r="G45" i="1"/>
  <c r="G43" i="1"/>
  <c r="G41" i="1"/>
  <c r="G39" i="1"/>
  <c r="G37" i="1"/>
  <c r="G35" i="1"/>
  <c r="G31" i="1"/>
  <c r="G27" i="1"/>
  <c r="G23" i="1"/>
  <c r="H23" i="1" s="1"/>
  <c r="I23" i="1" s="1"/>
  <c r="J23" i="1" s="1"/>
  <c r="G34" i="1"/>
  <c r="G30" i="1"/>
  <c r="G26" i="1"/>
  <c r="G33" i="1"/>
  <c r="G29" i="1"/>
  <c r="G25" i="1"/>
  <c r="G32" i="1"/>
  <c r="G28" i="1"/>
  <c r="G24" i="1"/>
  <c r="H24" i="1" s="1"/>
  <c r="I24" i="1" s="1"/>
  <c r="J24" i="1" s="1"/>
  <c r="G22" i="1"/>
  <c r="H22" i="1" s="1"/>
  <c r="I22" i="1" s="1"/>
  <c r="J22" i="1" s="1"/>
  <c r="K31" i="1"/>
  <c r="K27" i="1"/>
  <c r="K23" i="1"/>
  <c r="L23" i="1" s="1"/>
  <c r="K34" i="1"/>
  <c r="K30" i="1"/>
  <c r="K26" i="1"/>
  <c r="K22" i="1"/>
  <c r="L22" i="1" s="1"/>
  <c r="M22" i="1" s="1"/>
  <c r="P22" i="1" s="1"/>
  <c r="K33" i="1"/>
  <c r="K29" i="1"/>
  <c r="K25" i="1"/>
  <c r="M23" i="1"/>
  <c r="K32" i="1"/>
  <c r="K28" i="1"/>
  <c r="K24" i="1"/>
  <c r="L24" i="1" s="1"/>
  <c r="M24" i="1" s="1"/>
  <c r="P24" i="1" s="1"/>
  <c r="L35" i="6"/>
  <c r="L17" i="6"/>
  <c r="N23" i="1" l="1"/>
  <c r="O23" i="1" s="1"/>
  <c r="P23" i="1"/>
  <c r="H25" i="1"/>
  <c r="L25" i="1"/>
  <c r="M25" i="1" s="1"/>
  <c r="N24" i="1"/>
  <c r="O24" i="1" s="1"/>
  <c r="N22" i="1"/>
  <c r="O22" i="1" s="1"/>
  <c r="Q24" i="1"/>
  <c r="R24" i="1" s="1"/>
  <c r="H26" i="1"/>
  <c r="Q22" i="1"/>
  <c r="R22" i="1" s="1"/>
  <c r="Q23" i="1"/>
  <c r="R23" i="1" s="1"/>
  <c r="N25" i="1" l="1"/>
  <c r="P25" i="1"/>
  <c r="L26" i="1"/>
  <c r="M26" i="1" s="1"/>
  <c r="I25" i="1"/>
  <c r="J25" i="1" s="1"/>
  <c r="N26" i="1" l="1"/>
  <c r="P26" i="1"/>
  <c r="H27" i="1"/>
  <c r="L27" i="1"/>
  <c r="M27" i="1" s="1"/>
  <c r="I26" i="1"/>
  <c r="J26" i="1" s="1"/>
  <c r="Q25" i="1"/>
  <c r="R25" i="1" s="1"/>
  <c r="O25" i="1"/>
  <c r="N27" i="1" l="1"/>
  <c r="P27" i="1"/>
  <c r="L28" i="1"/>
  <c r="M28" i="1" s="1"/>
  <c r="P28" i="1" s="1"/>
  <c r="H28" i="1"/>
  <c r="I27" i="1"/>
  <c r="J27" i="1" s="1"/>
  <c r="Q26" i="1"/>
  <c r="R26" i="1" s="1"/>
  <c r="O26" i="1"/>
  <c r="N28" i="1" l="1"/>
  <c r="H29" i="1"/>
  <c r="L29" i="1"/>
  <c r="M29" i="1" s="1"/>
  <c r="Q27" i="1"/>
  <c r="R27" i="1" s="1"/>
  <c r="O27" i="1"/>
  <c r="I28" i="1"/>
  <c r="J28" i="1" s="1"/>
  <c r="N29" i="1" l="1"/>
  <c r="P29" i="1"/>
  <c r="H30" i="1"/>
  <c r="L30" i="1"/>
  <c r="M30" i="1" s="1"/>
  <c r="Q28" i="1"/>
  <c r="R28" i="1" s="1"/>
  <c r="O28" i="1"/>
  <c r="I29" i="1"/>
  <c r="J29" i="1" s="1"/>
  <c r="N30" i="1" l="1"/>
  <c r="P30" i="1"/>
  <c r="H31" i="1"/>
  <c r="L31" i="1"/>
  <c r="M31" i="1" s="1"/>
  <c r="Q29" i="1"/>
  <c r="R29" i="1" s="1"/>
  <c r="O29" i="1"/>
  <c r="I30" i="1"/>
  <c r="J30" i="1" s="1"/>
  <c r="N31" i="1" l="1"/>
  <c r="P31" i="1"/>
  <c r="L32" i="1"/>
  <c r="M32" i="1" s="1"/>
  <c r="P32" i="1" s="1"/>
  <c r="H32" i="1"/>
  <c r="I31" i="1"/>
  <c r="J31" i="1" s="1"/>
  <c r="Q30" i="1"/>
  <c r="R30" i="1" s="1"/>
  <c r="O30" i="1"/>
  <c r="N32" i="1" l="1"/>
  <c r="L33" i="1"/>
  <c r="M33" i="1" s="1"/>
  <c r="H33" i="1"/>
  <c r="Q31" i="1"/>
  <c r="R31" i="1" s="1"/>
  <c r="O31" i="1"/>
  <c r="I32" i="1"/>
  <c r="J32" i="1" s="1"/>
  <c r="L35" i="1" l="1"/>
  <c r="M35" i="1" s="1"/>
  <c r="H35" i="1"/>
  <c r="I35" i="1" s="1"/>
  <c r="J35" i="1" s="1"/>
  <c r="N33" i="1"/>
  <c r="P33" i="1"/>
  <c r="H34" i="1"/>
  <c r="I34" i="1" s="1"/>
  <c r="J34" i="1" s="1"/>
  <c r="L34" i="1"/>
  <c r="M34" i="1" s="1"/>
  <c r="P34" i="1" s="1"/>
  <c r="I33" i="1"/>
  <c r="J33" i="1" s="1"/>
  <c r="Q32" i="1"/>
  <c r="R32" i="1" s="1"/>
  <c r="O32" i="1"/>
  <c r="L36" i="1" l="1"/>
  <c r="M36" i="1" s="1"/>
  <c r="H36" i="1"/>
  <c r="I36" i="1" s="1"/>
  <c r="J36" i="1" s="1"/>
  <c r="P35" i="1"/>
  <c r="Q35" i="1" s="1"/>
  <c r="R35" i="1" s="1"/>
  <c r="N35" i="1"/>
  <c r="O35" i="1" s="1"/>
  <c r="N34" i="1"/>
  <c r="O34" i="1" s="1"/>
  <c r="Q34" i="1"/>
  <c r="R34" i="1" s="1"/>
  <c r="Q33" i="1"/>
  <c r="R33" i="1" s="1"/>
  <c r="O33" i="1"/>
  <c r="P36" i="1" l="1"/>
  <c r="Q36" i="1" s="1"/>
  <c r="R36" i="1" s="1"/>
  <c r="N36" i="1"/>
  <c r="O36" i="1" s="1"/>
  <c r="L37" i="1"/>
  <c r="M37" i="1" s="1"/>
  <c r="H37" i="1"/>
  <c r="I37" i="1" s="1"/>
  <c r="J37" i="1" s="1"/>
  <c r="N37" i="1" l="1"/>
  <c r="O37" i="1" s="1"/>
  <c r="P37" i="1"/>
  <c r="Q37" i="1" s="1"/>
  <c r="R37" i="1" s="1"/>
  <c r="L38" i="1"/>
  <c r="M38" i="1" s="1"/>
  <c r="H38" i="1"/>
  <c r="I38" i="1" s="1"/>
  <c r="J38" i="1" s="1"/>
  <c r="P38" i="1" l="1"/>
  <c r="Q38" i="1" s="1"/>
  <c r="R38" i="1" s="1"/>
  <c r="N38" i="1"/>
  <c r="O38" i="1" s="1"/>
  <c r="L39" i="1"/>
  <c r="M39" i="1" s="1"/>
  <c r="H39" i="1"/>
  <c r="I39" i="1" s="1"/>
  <c r="J39" i="1" s="1"/>
  <c r="P39" i="1" l="1"/>
  <c r="Q39" i="1" s="1"/>
  <c r="R39" i="1" s="1"/>
  <c r="N39" i="1"/>
  <c r="O39" i="1" s="1"/>
  <c r="L40" i="1"/>
  <c r="M40" i="1" s="1"/>
  <c r="H40" i="1"/>
  <c r="I40" i="1" s="1"/>
  <c r="J40" i="1" s="1"/>
  <c r="P40" i="1" l="1"/>
  <c r="Q40" i="1" s="1"/>
  <c r="R40" i="1" s="1"/>
  <c r="N40" i="1"/>
  <c r="O40" i="1" s="1"/>
  <c r="L41" i="1"/>
  <c r="M41" i="1" s="1"/>
  <c r="H41" i="1"/>
  <c r="I41" i="1" s="1"/>
  <c r="J41" i="1" s="1"/>
  <c r="P41" i="1" l="1"/>
  <c r="Q41" i="1" s="1"/>
  <c r="R41" i="1" s="1"/>
  <c r="N41" i="1"/>
  <c r="O41" i="1" s="1"/>
  <c r="L42" i="1"/>
  <c r="M42" i="1" s="1"/>
  <c r="H42" i="1"/>
  <c r="I42" i="1" s="1"/>
  <c r="J42" i="1" s="1"/>
  <c r="L43" i="1" l="1"/>
  <c r="M43" i="1" s="1"/>
  <c r="H43" i="1"/>
  <c r="I43" i="1" s="1"/>
  <c r="J43" i="1" s="1"/>
  <c r="N42" i="1"/>
  <c r="O42" i="1" s="1"/>
  <c r="P42" i="1"/>
  <c r="Q42" i="1" s="1"/>
  <c r="R42" i="1" s="1"/>
  <c r="P43" i="1" l="1"/>
  <c r="Q43" i="1" s="1"/>
  <c r="R43" i="1" s="1"/>
  <c r="N43" i="1"/>
  <c r="O43" i="1" s="1"/>
  <c r="L44" i="1"/>
  <c r="M44" i="1" s="1"/>
  <c r="H44" i="1"/>
  <c r="I44" i="1" s="1"/>
  <c r="J44" i="1" s="1"/>
  <c r="N44" i="1" l="1"/>
  <c r="O44" i="1" s="1"/>
  <c r="P44" i="1"/>
  <c r="Q44" i="1" s="1"/>
  <c r="R44" i="1" s="1"/>
  <c r="L45" i="1"/>
  <c r="M45" i="1" s="1"/>
  <c r="H45" i="1"/>
  <c r="I45" i="1" s="1"/>
  <c r="J45" i="1" s="1"/>
  <c r="P45" i="1" l="1"/>
  <c r="Q45" i="1" s="1"/>
  <c r="R45" i="1" s="1"/>
  <c r="N45" i="1"/>
  <c r="O45" i="1" s="1"/>
  <c r="L46" i="1"/>
  <c r="M46" i="1" s="1"/>
  <c r="H46" i="1"/>
  <c r="I46" i="1" s="1"/>
  <c r="J46" i="1" s="1"/>
  <c r="N46" i="1" l="1"/>
  <c r="O46" i="1" s="1"/>
  <c r="P46" i="1"/>
  <c r="Q46" i="1" s="1"/>
  <c r="R46" i="1" s="1"/>
  <c r="L47" i="1"/>
  <c r="M47" i="1" s="1"/>
  <c r="H47" i="1"/>
  <c r="I47" i="1" s="1"/>
  <c r="J47" i="1" s="1"/>
  <c r="P47" i="1" l="1"/>
  <c r="Q47" i="1" s="1"/>
  <c r="R47" i="1" s="1"/>
  <c r="N47" i="1"/>
  <c r="O47" i="1" s="1"/>
  <c r="L48" i="1"/>
  <c r="M48" i="1" s="1"/>
  <c r="H48" i="1"/>
  <c r="I48" i="1" s="1"/>
  <c r="J48" i="1" s="1"/>
  <c r="N48" i="1" l="1"/>
  <c r="O48" i="1" s="1"/>
  <c r="P48" i="1"/>
  <c r="Q48" i="1" s="1"/>
  <c r="R48" i="1" s="1"/>
</calcChain>
</file>

<file path=xl/sharedStrings.xml><?xml version="1.0" encoding="utf-8"?>
<sst xmlns="http://schemas.openxmlformats.org/spreadsheetml/2006/main" count="733" uniqueCount="262">
  <si>
    <t>Value</t>
  </si>
  <si>
    <t>Units</t>
  </si>
  <si>
    <t>acres</t>
  </si>
  <si>
    <t>Channels total surface area</t>
  </si>
  <si>
    <t>Shallow flooding, crops, surface area</t>
  </si>
  <si>
    <t>Evaporation/Transpiration annual loss</t>
  </si>
  <si>
    <t>acre-feet/year</t>
  </si>
  <si>
    <t>Evaporation/Transpiration peak summer loss</t>
  </si>
  <si>
    <t>acre-feet/month</t>
  </si>
  <si>
    <t>Seepage loss (mean Agrarian study data)</t>
  </si>
  <si>
    <t>Seepage loss (peak Agrarian study data)</t>
  </si>
  <si>
    <t>acre-feet/day</t>
  </si>
  <si>
    <t>Overflow to Sea (moderates salinity rise)</t>
  </si>
  <si>
    <t>gallons/day</t>
  </si>
  <si>
    <t>Pumping Rate Requirement</t>
  </si>
  <si>
    <t>hours/day</t>
  </si>
  <si>
    <t>Annual average full sun hours (zone 2)</t>
  </si>
  <si>
    <t>gallons/minute</t>
  </si>
  <si>
    <t>Pump Head Requirement 2017</t>
  </si>
  <si>
    <t>feet</t>
  </si>
  <si>
    <t>Pump Head Requirement 2018</t>
  </si>
  <si>
    <t>Pump Head Requirement 2019</t>
  </si>
  <si>
    <t>Pump Head Requirement 2020</t>
  </si>
  <si>
    <t>Pump Head Requirement 2021</t>
  </si>
  <si>
    <t>Pump Head Requirement 2022</t>
  </si>
  <si>
    <t>Pump Head Requirement 2023</t>
  </si>
  <si>
    <t>Pump Head Requirement 2024</t>
  </si>
  <si>
    <t>Pump Head Requirement 2025</t>
  </si>
  <si>
    <t>Pump Head Requirement 2026</t>
  </si>
  <si>
    <t>Pump Head Requirement 2027</t>
  </si>
  <si>
    <t>Pump Head Requirement 2028</t>
  </si>
  <si>
    <t>Pump Head Requirement 2029</t>
  </si>
  <si>
    <t>Pump Head Requirement 2030</t>
  </si>
  <si>
    <t>Pump Capacity Requirement (PV powered)</t>
  </si>
  <si>
    <t>Pump Capacity Requirement (24 hr power)</t>
  </si>
  <si>
    <t>gallons/year</t>
  </si>
  <si>
    <t>Freshwater blend (stops channel salinity rise)</t>
  </si>
  <si>
    <t>Lakes &amp; Channels total surface area</t>
  </si>
  <si>
    <t>square meters</t>
  </si>
  <si>
    <t>Desert Shores channels (-227 ft elevation)</t>
  </si>
  <si>
    <t>Desert Shores lake (-227 ft elevation, 30ft depth)</t>
  </si>
  <si>
    <t>Salton Sea Beach Channels (-227 ft elevation)</t>
  </si>
  <si>
    <t>Salton Sea Beach Lake (-227 ft elevation, 15ft depth)</t>
  </si>
  <si>
    <t>Salton City South Channels (-227 ft elevation)</t>
  </si>
  <si>
    <t>Salton City Lake (-227 ft elevation, 25ft depth)</t>
  </si>
  <si>
    <t>MGD</t>
  </si>
  <si>
    <t>Connecting Channel (-227 ft elevation, 5ft depth)</t>
  </si>
  <si>
    <t>Connecting Channel length (-227 ft elevation)</t>
  </si>
  <si>
    <t>meters</t>
  </si>
  <si>
    <t>Connecting Channel width (-227 ft elevation)</t>
  </si>
  <si>
    <t>Salton Seawater Inflow (treatment + seepage loss)</t>
  </si>
  <si>
    <t>Freshwater inflow (stops salinity rise)</t>
  </si>
  <si>
    <t>Brine Concentrate outflow</t>
  </si>
  <si>
    <t>acres/year</t>
  </si>
  <si>
    <t xml:space="preserve">Salt Evaporation Pond dust coverage </t>
  </si>
  <si>
    <t>$ per acre foot</t>
  </si>
  <si>
    <t>Freshwater inflow annual cost</t>
  </si>
  <si>
    <t>per year</t>
  </si>
  <si>
    <t>Shallow Flooding, Vegetation, surface area</t>
  </si>
  <si>
    <t>cubic meters</t>
  </si>
  <si>
    <t>cubic yards</t>
  </si>
  <si>
    <t>tubes</t>
  </si>
  <si>
    <t>Desert Shores lake berm length (30ft depth)</t>
  </si>
  <si>
    <t>Desert Shores lake berm tubes (30ft depth)</t>
  </si>
  <si>
    <t>Desert Shores lake berm volume (30ft depth)</t>
  </si>
  <si>
    <t>Desert Shores channels berm length (5ft depth)</t>
  </si>
  <si>
    <t>Desert Shores channels berm tubes (5ft depth)</t>
  </si>
  <si>
    <t>Desert Shores channels berm volume (5ft depth)</t>
  </si>
  <si>
    <t>Connecting Channel berm height (5ft depth)</t>
  </si>
  <si>
    <t>Connecting Channel berm tubes (5ft depth)</t>
  </si>
  <si>
    <t>Connecting Channel berms volume (5ft depth)</t>
  </si>
  <si>
    <t>Connecting Channel berm length</t>
  </si>
  <si>
    <t>Connecting Channel berm width</t>
  </si>
  <si>
    <t>Connecting Channel geotube material cost</t>
  </si>
  <si>
    <t>Connecting Channel geotube dredge fill cost</t>
  </si>
  <si>
    <t>Geotube material unit cost</t>
  </si>
  <si>
    <t>Geotube dredge fill unit cost</t>
  </si>
  <si>
    <t>per linear foot</t>
  </si>
  <si>
    <t>per cubic yard</t>
  </si>
  <si>
    <t>per cubic meter</t>
  </si>
  <si>
    <t>per linear meter</t>
  </si>
  <si>
    <t>Desert Shores channels geotube material cost</t>
  </si>
  <si>
    <t>Desert Shores channels geotube dredge fill cost</t>
  </si>
  <si>
    <t>Desert Shores lake geotube material cost</t>
  </si>
  <si>
    <t>Desert Shores lake geotube dredge fill cost</t>
  </si>
  <si>
    <t>Salton City Riviera channels berm length (5ft depth)</t>
  </si>
  <si>
    <t>Salton City Riviera channels berm tubes (5ft depth)</t>
  </si>
  <si>
    <t>Salton City Riviera channels berm volume (5ft depth)</t>
  </si>
  <si>
    <t>Salton City Riviera channels geotube material cost</t>
  </si>
  <si>
    <t>Salton City Riviera channels geotube dredge fill cost</t>
  </si>
  <si>
    <t>Salton City South Channels berm length (5ft depth)</t>
  </si>
  <si>
    <t>Salton City South Channels berm tubes (5ft depth)</t>
  </si>
  <si>
    <t>Salton City South Channels berm volume (5ft depth)</t>
  </si>
  <si>
    <t>Salton City South Channels geotube material cost</t>
  </si>
  <si>
    <t>Salton City South Channels geotube dredge fill cost</t>
  </si>
  <si>
    <t>Salton Sea Beach Channels berm length (5ft depth)</t>
  </si>
  <si>
    <t>Salton Sea Beach Channels berm tubes (5ft depth)</t>
  </si>
  <si>
    <t>Salton Sea Beach Channels berm volume (5ft depth)</t>
  </si>
  <si>
    <t>Salton Sea Beach Channels geotube material cost</t>
  </si>
  <si>
    <t>Salton Sea Beach Channels geotube dredge fill cost</t>
  </si>
  <si>
    <t>Salton Sea Beach lake berm length (15ft depth)</t>
  </si>
  <si>
    <t>Salton Sea Beach lake geotube material cost</t>
  </si>
  <si>
    <t>Salton Sea Beach lake geotube dredge fill cost</t>
  </si>
  <si>
    <t>Salton Sea Beach lake berm tubes (15ft depth)</t>
  </si>
  <si>
    <t>Salton Sea Beach lake berm volume (15ft depth)</t>
  </si>
  <si>
    <t>Salton City lake geotube material cost</t>
  </si>
  <si>
    <t>Salton City lake geotube dredge fill cost</t>
  </si>
  <si>
    <t>Salton City lake berm length (25ft depth)</t>
  </si>
  <si>
    <t>Salton City lake berm tubes (25ft depth)</t>
  </si>
  <si>
    <t>Salton City lake berm volume (25ft depth)</t>
  </si>
  <si>
    <t>Lakes &amp; Channels total geotube material cost</t>
  </si>
  <si>
    <t>Lakes &amp; Channels total geotube dredge fill cost</t>
  </si>
  <si>
    <t>Lakes &amp; Channels total berm cost</t>
  </si>
  <si>
    <t>West Shores Channels (Phase 1) Berm Costs</t>
  </si>
  <si>
    <t>West Shores Lakes (Phase 2) Berm Costs</t>
  </si>
  <si>
    <t>Channels total geotube material cost</t>
  </si>
  <si>
    <t>Channels total geotube dredge fill cost</t>
  </si>
  <si>
    <t>Channels total berm cost</t>
  </si>
  <si>
    <t>Totals</t>
  </si>
  <si>
    <t>Lakes total geotube material cost</t>
  </si>
  <si>
    <t>Lakes total geotube dredge fill cost</t>
  </si>
  <si>
    <t>Lakes total berm cost</t>
  </si>
  <si>
    <t>Freshwater inflow unit cost (CVWD rate A)</t>
  </si>
  <si>
    <t>Distilled inflow unit cost (desalination)</t>
  </si>
  <si>
    <t>Distilled inflow annual cost (desalination)</t>
  </si>
  <si>
    <t>tubes in stack</t>
  </si>
  <si>
    <t>Desert Shores total surface area</t>
  </si>
  <si>
    <t>West Shores total surface area</t>
  </si>
  <si>
    <t>Salton Sea Beach Channels surface area</t>
  </si>
  <si>
    <t>Salton City Riviera Channels surface area</t>
  </si>
  <si>
    <t>Salton City South Channels surface area</t>
  </si>
  <si>
    <t>Head (feet)</t>
  </si>
  <si>
    <t>specific gravity</t>
  </si>
  <si>
    <t>efficiency</t>
  </si>
  <si>
    <t>Pump HP</t>
  </si>
  <si>
    <t>Power KW</t>
  </si>
  <si>
    <t>Annual Pumping Requirements (PV Solar)</t>
  </si>
  <si>
    <t>Overflow to Vegetation</t>
  </si>
  <si>
    <t>Annual Pumping Requirements (24 hour power)</t>
  </si>
  <si>
    <t>Desert Shores Channels</t>
  </si>
  <si>
    <t>Phase 1</t>
  </si>
  <si>
    <t>Public Outreach</t>
  </si>
  <si>
    <t>Design &amp; Engineering</t>
  </si>
  <si>
    <t>CEQA / Permitting</t>
  </si>
  <si>
    <t>Berm Construction</t>
  </si>
  <si>
    <t>Operation</t>
  </si>
  <si>
    <t>Salton Sea Beach Channels</t>
  </si>
  <si>
    <t>Property &amp; Right of Way</t>
  </si>
  <si>
    <t>Salton City North Channels</t>
  </si>
  <si>
    <t>Salton City South Channels</t>
  </si>
  <si>
    <t>West Shores Lakes &amp; Channels</t>
  </si>
  <si>
    <t>Desert Shores Lake</t>
  </si>
  <si>
    <t>Salton Sea Beach Lake</t>
  </si>
  <si>
    <t>Salton City Lake</t>
  </si>
  <si>
    <t>In Perpetuity</t>
  </si>
  <si>
    <t>Phase 2</t>
  </si>
  <si>
    <t>Size (acres)</t>
  </si>
  <si>
    <t>Depth (feet)</t>
  </si>
  <si>
    <t>Recreation (boating)</t>
  </si>
  <si>
    <t>Recreation (fishing)</t>
  </si>
  <si>
    <t>Recreation (birding)</t>
  </si>
  <si>
    <t>Deep water habitat (fish/pelicans)</t>
  </si>
  <si>
    <t>Shallow Habitat (shore birds)</t>
  </si>
  <si>
    <t>Recreation (swimming)</t>
  </si>
  <si>
    <t>Surface Elevation (feet)</t>
  </si>
  <si>
    <t>yes</t>
  </si>
  <si>
    <t>?</t>
  </si>
  <si>
    <t>no</t>
  </si>
  <si>
    <t>Recreation (skiing/ jet skis)</t>
  </si>
  <si>
    <t>Right of Way</t>
  </si>
  <si>
    <t>Water Rights</t>
  </si>
  <si>
    <t>Section 404</t>
  </si>
  <si>
    <t>Section 1602</t>
  </si>
  <si>
    <t>Section 401</t>
  </si>
  <si>
    <t>CEQA/NEPA?</t>
  </si>
  <si>
    <t>IC CUP</t>
  </si>
  <si>
    <t>IC Grading</t>
  </si>
  <si>
    <t>IC Building</t>
  </si>
  <si>
    <t>IC APCD</t>
  </si>
  <si>
    <t>Phase 1 (combined process)</t>
  </si>
  <si>
    <t>Phase 2 (combined process)</t>
  </si>
  <si>
    <t>Lakes &amp; Channels total each permit</t>
  </si>
  <si>
    <t>Engineering</t>
  </si>
  <si>
    <t>Annual Monitoring Cost (Chem/Bio)</t>
  </si>
  <si>
    <t>Design, Permit, &amp; Construction Cost</t>
  </si>
  <si>
    <t>Lakes &amp; Channels total all costs</t>
  </si>
  <si>
    <t>Desert Shores channels (28 acres)</t>
  </si>
  <si>
    <t>Salton Sea Beach Channels (3.5 acres)</t>
  </si>
  <si>
    <t>Salton City North Channels (17.7 acres)</t>
  </si>
  <si>
    <t>Salton City South Channels (18 acres)</t>
  </si>
  <si>
    <t>Desert Shores lake (267 acres, 30ft depth)</t>
  </si>
  <si>
    <t>Salton Sea Beach Lake (47.8 acres, 15ft depth)</t>
  </si>
  <si>
    <t>Salton City Lake (829.8 acres, 25ft depth)</t>
  </si>
  <si>
    <t>Connecting Channel (14.2 acres, 5ft depth)</t>
  </si>
  <si>
    <t>Dam Safety</t>
  </si>
  <si>
    <t>Total</t>
  </si>
  <si>
    <t>West Shores Lakes &amp; Channels Geotube Berm Costing</t>
  </si>
  <si>
    <t>West Shores Lakes Surface Area and Water Use</t>
  </si>
  <si>
    <t>Shallow flooding, vegetation, surface area</t>
  </si>
  <si>
    <t>Desert Shores Keys Pumping Requirement</t>
  </si>
  <si>
    <t>Subtotals</t>
  </si>
  <si>
    <t>CVWD cost</t>
  </si>
  <si>
    <t>Desal Cost</t>
  </si>
  <si>
    <t>Annual Cost</t>
  </si>
  <si>
    <t>Pumping Cost</t>
  </si>
  <si>
    <t>Recreation (beach activities)</t>
  </si>
  <si>
    <t>Annual Operation Cost (CVWD water)</t>
  </si>
  <si>
    <t>Salton City North Keys (-227 ft elevation)</t>
  </si>
  <si>
    <t>Annual Operation Cost (Desal water)</t>
  </si>
  <si>
    <t>Connecting Channel between Lakes</t>
  </si>
  <si>
    <t>Phase 3</t>
  </si>
  <si>
    <t>Annual Dam Fee (CA DWR)</t>
  </si>
  <si>
    <t>West Shores Lakes Pumping Requirement (Phase 3)</t>
  </si>
  <si>
    <t>West Shores (Phase 1,2) Pumping Requirement</t>
  </si>
  <si>
    <t>Freshwater blend amount</t>
  </si>
  <si>
    <t>Freshwater blend (moderates salinity rise)</t>
  </si>
  <si>
    <t>Annual Operation Cost (Pumping)</t>
  </si>
  <si>
    <t>Annual Operation Cost (pumping)</t>
  </si>
  <si>
    <t>Annual Fuel</t>
  </si>
  <si>
    <t>GPH</t>
  </si>
  <si>
    <t>gallons</t>
  </si>
  <si>
    <t>Fuel Use</t>
  </si>
  <si>
    <t>Cost</t>
  </si>
  <si>
    <t>24 hr</t>
  </si>
  <si>
    <t>IID power</t>
  </si>
  <si>
    <t>Pump</t>
  </si>
  <si>
    <t>distance</t>
  </si>
  <si>
    <t>pump head</t>
  </si>
  <si>
    <t>Seawater</t>
  </si>
  <si>
    <t>4" fire hose flow resistance coefficient</t>
  </si>
  <si>
    <t>Resistance</t>
  </si>
  <si>
    <t>in hose (psi)</t>
  </si>
  <si>
    <t>Effective PV</t>
  </si>
  <si>
    <t>Effective 24hr</t>
  </si>
  <si>
    <t>6" fire hose flow resistance coefficient</t>
  </si>
  <si>
    <t>5" fire hose flow resistance coefficient</t>
  </si>
  <si>
    <t>Used for 24 hr</t>
  </si>
  <si>
    <t>Used for PV</t>
  </si>
  <si>
    <t>PV solar</t>
  </si>
  <si>
    <t>Pump Head Requirement 2031</t>
  </si>
  <si>
    <t>Pump Head Requirement 2032</t>
  </si>
  <si>
    <t>Pump Head Requirement 2033</t>
  </si>
  <si>
    <t>Pump Head Requirement 2034</t>
  </si>
  <si>
    <t>Pump Head Requirement 2035</t>
  </si>
  <si>
    <t>Pump Head Requirement 2036</t>
  </si>
  <si>
    <t>Pump Head Requirement 2037</t>
  </si>
  <si>
    <t>Pump Head Requirement 2038</t>
  </si>
  <si>
    <t>Pump Head Requirement 2039</t>
  </si>
  <si>
    <t>Pump Head Requirement 2040</t>
  </si>
  <si>
    <t>Pump Head Requirement 2041</t>
  </si>
  <si>
    <t>Pump Head Requirement 2042</t>
  </si>
  <si>
    <t>Pump Head Requirement 2043</t>
  </si>
  <si>
    <t>Pump Head Requirement 2044</t>
  </si>
  <si>
    <t>Pump Head Requirement 2045</t>
  </si>
  <si>
    <t>Pumping Requirements (PV vs 24 hr)</t>
  </si>
  <si>
    <t>Sea Recession</t>
  </si>
  <si>
    <t>Sea Elevation</t>
  </si>
  <si>
    <t>Estimate</t>
  </si>
  <si>
    <t>Overflow to Sea (circulation outflow)</t>
  </si>
  <si>
    <t>Evaporation peak summer loss</t>
  </si>
  <si>
    <t>Evaporation annual loss</t>
  </si>
  <si>
    <t>Seawater inflow (source of salt and nutrients)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</si>
</sst>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"/>
    <numFmt numFmtId="165" formatCode="&quot;$&quot;#,##0.00"/>
    <numFmt numFmtId="166" formatCode="#,##0.0"/>
    <numFmt numFmtId="167" formatCode="0.0"/>
    <numFmt numFmtId="168" formatCode="&quot;$&quot;#,##0"/>
    <numFmt numFmtId="169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4" fontId="0" fillId="0" borderId="0" xfId="0" applyNumberFormat="1"/>
    <xf numFmtId="164" fontId="0" fillId="0" borderId="0" xfId="0" applyNumberFormat="1"/>
    <xf numFmtId="3" fontId="0" fillId="0" borderId="0" xfId="0" applyNumberFormat="1"/>
    <xf numFmtId="165" fontId="0" fillId="0" borderId="0" xfId="0" applyNumberFormat="1"/>
    <xf numFmtId="0" fontId="0" fillId="0" borderId="0" xfId="0" applyFont="1"/>
    <xf numFmtId="166" fontId="0" fillId="0" borderId="0" xfId="0" applyNumberFormat="1"/>
    <xf numFmtId="167" fontId="0" fillId="0" borderId="0" xfId="0" applyNumberFormat="1"/>
    <xf numFmtId="3" fontId="0" fillId="0" borderId="0" xfId="0" applyNumberFormat="1" applyFont="1"/>
    <xf numFmtId="166" fontId="0" fillId="0" borderId="0" xfId="0" applyNumberFormat="1" applyFont="1"/>
    <xf numFmtId="9" fontId="0" fillId="0" borderId="0" xfId="0" applyNumberFormat="1"/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4" borderId="0" xfId="0" applyFill="1"/>
    <xf numFmtId="165" fontId="0" fillId="0" borderId="0" xfId="0" applyNumberFormat="1" applyFont="1"/>
    <xf numFmtId="165" fontId="1" fillId="0" borderId="0" xfId="0" applyNumberFormat="1" applyFont="1"/>
    <xf numFmtId="0" fontId="1" fillId="5" borderId="0" xfId="0" applyFont="1" applyFill="1"/>
    <xf numFmtId="0" fontId="0" fillId="5" borderId="0" xfId="0" applyFill="1"/>
    <xf numFmtId="0" fontId="0" fillId="5" borderId="0" xfId="0" applyFill="1" applyAlignment="1">
      <alignment horizontal="left"/>
    </xf>
    <xf numFmtId="3" fontId="0" fillId="5" borderId="0" xfId="0" applyNumberFormat="1" applyFill="1" applyAlignment="1">
      <alignment horizontal="left"/>
    </xf>
    <xf numFmtId="0" fontId="0" fillId="5" borderId="0" xfId="0" applyFont="1" applyFill="1"/>
    <xf numFmtId="165" fontId="0" fillId="5" borderId="0" xfId="0" applyNumberFormat="1" applyFill="1" applyAlignment="1">
      <alignment horizontal="left"/>
    </xf>
    <xf numFmtId="0" fontId="1" fillId="6" borderId="0" xfId="0" applyFont="1" applyFill="1"/>
    <xf numFmtId="0" fontId="0" fillId="6" borderId="0" xfId="0" applyFill="1"/>
    <xf numFmtId="0" fontId="0" fillId="6" borderId="0" xfId="0" applyFill="1" applyAlignment="1">
      <alignment horizontal="left"/>
    </xf>
    <xf numFmtId="166" fontId="0" fillId="6" borderId="0" xfId="0" applyNumberFormat="1" applyFill="1" applyAlignment="1">
      <alignment horizontal="left"/>
    </xf>
    <xf numFmtId="3" fontId="0" fillId="6" borderId="0" xfId="0" applyNumberFormat="1" applyFill="1" applyAlignment="1">
      <alignment horizontal="left"/>
    </xf>
    <xf numFmtId="3" fontId="0" fillId="6" borderId="0" xfId="0" applyNumberFormat="1" applyFill="1"/>
    <xf numFmtId="0" fontId="0" fillId="6" borderId="0" xfId="0" applyFont="1" applyFill="1"/>
    <xf numFmtId="165" fontId="0" fillId="6" borderId="0" xfId="0" applyNumberFormat="1" applyFill="1" applyAlignment="1">
      <alignment horizontal="left"/>
    </xf>
    <xf numFmtId="168" fontId="0" fillId="6" borderId="0" xfId="0" applyNumberFormat="1" applyFill="1"/>
    <xf numFmtId="0" fontId="1" fillId="7" borderId="0" xfId="0" applyFont="1" applyFill="1"/>
    <xf numFmtId="0" fontId="0" fillId="7" borderId="0" xfId="0" applyFill="1"/>
    <xf numFmtId="0" fontId="0" fillId="7" borderId="0" xfId="0" applyFill="1" applyAlignment="1">
      <alignment horizontal="left"/>
    </xf>
    <xf numFmtId="3" fontId="0" fillId="7" borderId="0" xfId="0" applyNumberFormat="1" applyFill="1" applyAlignment="1">
      <alignment horizontal="left"/>
    </xf>
    <xf numFmtId="166" fontId="0" fillId="7" borderId="0" xfId="0" applyNumberFormat="1" applyFill="1" applyAlignment="1">
      <alignment horizontal="left"/>
    </xf>
    <xf numFmtId="3" fontId="0" fillId="7" borderId="0" xfId="0" applyNumberFormat="1" applyFill="1"/>
    <xf numFmtId="0" fontId="0" fillId="7" borderId="0" xfId="0" applyFont="1" applyFill="1"/>
    <xf numFmtId="165" fontId="0" fillId="7" borderId="0" xfId="0" applyNumberFormat="1" applyFill="1" applyAlignment="1">
      <alignment horizontal="left"/>
    </xf>
    <xf numFmtId="168" fontId="0" fillId="7" borderId="0" xfId="0" applyNumberFormat="1" applyFill="1"/>
    <xf numFmtId="0" fontId="2" fillId="0" borderId="0" xfId="0" applyFont="1"/>
    <xf numFmtId="2" fontId="0" fillId="0" borderId="0" xfId="0" applyNumberFormat="1"/>
    <xf numFmtId="16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topLeftCell="A21" workbookViewId="0">
      <selection activeCell="O17" sqref="O17"/>
    </sheetView>
  </sheetViews>
  <sheetFormatPr defaultRowHeight="15" x14ac:dyDescent="0.25"/>
  <cols>
    <col min="1" max="1" width="34.5703125" customWidth="1"/>
    <col min="2" max="2" width="13.85546875" customWidth="1"/>
    <col min="4" max="4" width="34.85546875" customWidth="1"/>
    <col min="5" max="5" width="12.7109375" bestFit="1" customWidth="1"/>
    <col min="7" max="7" width="34.28515625" customWidth="1"/>
    <col min="8" max="8" width="13.85546875" bestFit="1" customWidth="1"/>
    <col min="10" max="10" width="34" customWidth="1"/>
    <col min="11" max="11" width="12.7109375" bestFit="1" customWidth="1"/>
    <col min="12" max="12" width="11.85546875" customWidth="1"/>
  </cols>
  <sheetData>
    <row r="1" spans="1:12" x14ac:dyDescent="0.25">
      <c r="A1" s="1" t="s">
        <v>150</v>
      </c>
    </row>
    <row r="2" spans="1:12" x14ac:dyDescent="0.25">
      <c r="A2" s="18" t="s">
        <v>140</v>
      </c>
      <c r="B2" s="19"/>
      <c r="D2" s="24" t="s">
        <v>155</v>
      </c>
      <c r="E2" s="25"/>
      <c r="F2" s="25"/>
      <c r="G2" s="25"/>
      <c r="H2" s="25"/>
      <c r="I2" s="25"/>
      <c r="J2" s="25"/>
      <c r="K2" s="25"/>
      <c r="L2" s="25"/>
    </row>
    <row r="3" spans="1:12" x14ac:dyDescent="0.25">
      <c r="A3" s="18" t="s">
        <v>139</v>
      </c>
      <c r="B3" s="20"/>
      <c r="D3" s="24" t="s">
        <v>146</v>
      </c>
      <c r="E3" s="25"/>
      <c r="F3" s="25"/>
      <c r="G3" s="24" t="s">
        <v>148</v>
      </c>
      <c r="H3" s="25"/>
      <c r="I3" s="25"/>
      <c r="J3" s="24" t="s">
        <v>149</v>
      </c>
      <c r="K3" s="26"/>
      <c r="L3" s="24" t="s">
        <v>118</v>
      </c>
    </row>
    <row r="4" spans="1:12" x14ac:dyDescent="0.25">
      <c r="A4" s="19" t="s">
        <v>156</v>
      </c>
      <c r="B4" s="21">
        <f xml:space="preserve"> 'West Shore Lakes Water Estimate'!D5</f>
        <v>28.000011181000001</v>
      </c>
      <c r="D4" s="25" t="s">
        <v>156</v>
      </c>
      <c r="E4" s="27">
        <f xml:space="preserve"> 'West Shore Lakes Water Estimate'!D7</f>
        <v>3.5385436000000001</v>
      </c>
      <c r="F4" s="25"/>
      <c r="G4" s="25" t="s">
        <v>156</v>
      </c>
      <c r="H4" s="27">
        <f>'West Shore Lakes Water Estimate'!D9</f>
        <v>17.74362163</v>
      </c>
      <c r="I4" s="25"/>
      <c r="J4" s="25" t="s">
        <v>156</v>
      </c>
      <c r="K4" s="28">
        <f xml:space="preserve"> 'West Shore Lakes Water Estimate'!D10</f>
        <v>17.971699545</v>
      </c>
      <c r="L4" s="29">
        <f xml:space="preserve"> SUM(B4,E4,H4,K4)</f>
        <v>67.253875956000002</v>
      </c>
    </row>
    <row r="5" spans="1:12" x14ac:dyDescent="0.25">
      <c r="A5" s="22" t="s">
        <v>164</v>
      </c>
      <c r="B5" s="21">
        <v>-227</v>
      </c>
      <c r="D5" s="30" t="s">
        <v>164</v>
      </c>
      <c r="E5" s="28">
        <v>-227</v>
      </c>
      <c r="F5" s="25"/>
      <c r="G5" s="30" t="s">
        <v>164</v>
      </c>
      <c r="H5" s="28">
        <v>-227</v>
      </c>
      <c r="I5" s="25"/>
      <c r="J5" s="30" t="s">
        <v>164</v>
      </c>
      <c r="K5" s="28">
        <v>-227</v>
      </c>
      <c r="L5" s="25"/>
    </row>
    <row r="6" spans="1:12" x14ac:dyDescent="0.25">
      <c r="A6" s="19" t="s">
        <v>157</v>
      </c>
      <c r="B6" s="20">
        <v>10</v>
      </c>
      <c r="D6" s="25" t="s">
        <v>157</v>
      </c>
      <c r="E6" s="26">
        <v>5</v>
      </c>
      <c r="F6" s="25"/>
      <c r="G6" s="25" t="s">
        <v>157</v>
      </c>
      <c r="H6" s="26">
        <v>8</v>
      </c>
      <c r="I6" s="25"/>
      <c r="J6" s="25" t="s">
        <v>157</v>
      </c>
      <c r="K6" s="26">
        <v>10</v>
      </c>
      <c r="L6" s="25"/>
    </row>
    <row r="7" spans="1:12" x14ac:dyDescent="0.25">
      <c r="A7" s="19" t="s">
        <v>158</v>
      </c>
      <c r="B7" s="20" t="s">
        <v>165</v>
      </c>
      <c r="D7" s="25" t="s">
        <v>158</v>
      </c>
      <c r="E7" s="26" t="s">
        <v>165</v>
      </c>
      <c r="F7" s="25"/>
      <c r="G7" s="25" t="s">
        <v>158</v>
      </c>
      <c r="H7" s="26" t="s">
        <v>165</v>
      </c>
      <c r="I7" s="25"/>
      <c r="J7" s="25" t="s">
        <v>158</v>
      </c>
      <c r="K7" s="26" t="s">
        <v>165</v>
      </c>
      <c r="L7" s="25"/>
    </row>
    <row r="8" spans="1:12" x14ac:dyDescent="0.25">
      <c r="A8" s="19" t="s">
        <v>168</v>
      </c>
      <c r="B8" s="20" t="s">
        <v>167</v>
      </c>
      <c r="D8" s="25" t="s">
        <v>168</v>
      </c>
      <c r="E8" s="26" t="s">
        <v>167</v>
      </c>
      <c r="F8" s="25"/>
      <c r="G8" s="25" t="s">
        <v>168</v>
      </c>
      <c r="H8" s="26" t="s">
        <v>167</v>
      </c>
      <c r="I8" s="25"/>
      <c r="J8" s="25" t="s">
        <v>168</v>
      </c>
      <c r="K8" s="26" t="s">
        <v>167</v>
      </c>
      <c r="L8" s="25"/>
    </row>
    <row r="9" spans="1:12" x14ac:dyDescent="0.25">
      <c r="A9" s="19" t="s">
        <v>159</v>
      </c>
      <c r="B9" s="20" t="s">
        <v>165</v>
      </c>
      <c r="D9" s="25" t="s">
        <v>159</v>
      </c>
      <c r="E9" s="26" t="s">
        <v>165</v>
      </c>
      <c r="F9" s="25"/>
      <c r="G9" s="25" t="s">
        <v>159</v>
      </c>
      <c r="H9" s="26" t="s">
        <v>165</v>
      </c>
      <c r="I9" s="25"/>
      <c r="J9" s="25" t="s">
        <v>159</v>
      </c>
      <c r="K9" s="26" t="s">
        <v>165</v>
      </c>
      <c r="L9" s="25"/>
    </row>
    <row r="10" spans="1:12" x14ac:dyDescent="0.25">
      <c r="A10" s="19" t="s">
        <v>160</v>
      </c>
      <c r="B10" s="20" t="s">
        <v>165</v>
      </c>
      <c r="D10" s="25" t="s">
        <v>160</v>
      </c>
      <c r="E10" s="26" t="s">
        <v>165</v>
      </c>
      <c r="F10" s="25"/>
      <c r="G10" s="25" t="s">
        <v>160</v>
      </c>
      <c r="H10" s="26" t="s">
        <v>165</v>
      </c>
      <c r="I10" s="25"/>
      <c r="J10" s="25" t="s">
        <v>160</v>
      </c>
      <c r="K10" s="26" t="s">
        <v>165</v>
      </c>
      <c r="L10" s="25"/>
    </row>
    <row r="11" spans="1:12" x14ac:dyDescent="0.25">
      <c r="A11" s="19" t="s">
        <v>205</v>
      </c>
      <c r="B11" s="20" t="s">
        <v>167</v>
      </c>
      <c r="D11" s="25" t="s">
        <v>205</v>
      </c>
      <c r="E11" s="26" t="s">
        <v>167</v>
      </c>
      <c r="F11" s="25"/>
      <c r="G11" s="25" t="s">
        <v>205</v>
      </c>
      <c r="H11" s="26" t="s">
        <v>167</v>
      </c>
      <c r="I11" s="25"/>
      <c r="J11" s="25" t="s">
        <v>205</v>
      </c>
      <c r="K11" s="26" t="s">
        <v>167</v>
      </c>
      <c r="L11" s="25"/>
    </row>
    <row r="12" spans="1:12" x14ac:dyDescent="0.25">
      <c r="A12" s="19" t="s">
        <v>163</v>
      </c>
      <c r="B12" s="20" t="s">
        <v>166</v>
      </c>
      <c r="D12" s="25" t="s">
        <v>163</v>
      </c>
      <c r="E12" s="26" t="s">
        <v>167</v>
      </c>
      <c r="F12" s="25"/>
      <c r="G12" s="25" t="s">
        <v>163</v>
      </c>
      <c r="H12" s="26" t="s">
        <v>167</v>
      </c>
      <c r="I12" s="25"/>
      <c r="J12" s="25" t="s">
        <v>163</v>
      </c>
      <c r="K12" s="26" t="s">
        <v>166</v>
      </c>
      <c r="L12" s="25"/>
    </row>
    <row r="13" spans="1:12" x14ac:dyDescent="0.25">
      <c r="A13" s="19" t="s">
        <v>161</v>
      </c>
      <c r="B13" s="20" t="s">
        <v>165</v>
      </c>
      <c r="D13" s="25" t="s">
        <v>161</v>
      </c>
      <c r="E13" s="26" t="s">
        <v>167</v>
      </c>
      <c r="F13" s="25"/>
      <c r="G13" s="25" t="s">
        <v>161</v>
      </c>
      <c r="H13" s="26" t="s">
        <v>165</v>
      </c>
      <c r="I13" s="25"/>
      <c r="J13" s="25" t="s">
        <v>161</v>
      </c>
      <c r="K13" s="26" t="s">
        <v>165</v>
      </c>
      <c r="L13" s="25"/>
    </row>
    <row r="14" spans="1:12" x14ac:dyDescent="0.25">
      <c r="A14" s="19" t="s">
        <v>162</v>
      </c>
      <c r="B14" s="20" t="s">
        <v>167</v>
      </c>
      <c r="D14" s="25" t="s">
        <v>162</v>
      </c>
      <c r="E14" s="26" t="s">
        <v>165</v>
      </c>
      <c r="F14" s="25"/>
      <c r="G14" s="25" t="s">
        <v>162</v>
      </c>
      <c r="H14" s="26" t="s">
        <v>165</v>
      </c>
      <c r="I14" s="25"/>
      <c r="J14" s="25" t="s">
        <v>162</v>
      </c>
      <c r="K14" s="26" t="s">
        <v>167</v>
      </c>
      <c r="L14" s="25"/>
    </row>
    <row r="15" spans="1:12" x14ac:dyDescent="0.25">
      <c r="A15" s="19" t="s">
        <v>184</v>
      </c>
      <c r="B15" s="23">
        <f xml:space="preserve"> SUM('West Shores Lakes Permits'!B3, 'West Shore Lakes Berm Estimates'!B11)</f>
        <v>64972.725014500342</v>
      </c>
      <c r="D15" s="25" t="s">
        <v>184</v>
      </c>
      <c r="E15" s="31">
        <f xml:space="preserve"> SUM('West Shores Lakes Permits'!B4,'West Shore Lakes Berm Estimates'!B32)</f>
        <v>120670.72466570114</v>
      </c>
      <c r="F15" s="25"/>
      <c r="G15" s="25" t="s">
        <v>184</v>
      </c>
      <c r="H15" s="31">
        <f xml:space="preserve"> SUM('West Shores Lakes Permits'!B5,'West Shore Lakes Berm Estimates'!B18)</f>
        <v>126598.90951345631</v>
      </c>
      <c r="I15" s="25"/>
      <c r="J15" s="25" t="s">
        <v>184</v>
      </c>
      <c r="K15" s="31">
        <f xml:space="preserve"> SUM('West Shores Lakes Permits'!B6,'West Shore Lakes Berm Estimates'!B25)</f>
        <v>102714.09242387759</v>
      </c>
      <c r="L15" s="32">
        <f xml:space="preserve"> SUM(B15,E15,H15,K15)</f>
        <v>414956.45161753532</v>
      </c>
    </row>
    <row r="16" spans="1:12" x14ac:dyDescent="0.25">
      <c r="A16" s="19" t="s">
        <v>206</v>
      </c>
      <c r="B16" s="23">
        <f xml:space="preserve"> SUM('West Shore Lakes Water Estimate'!F$5)</f>
        <v>19928.866908020427</v>
      </c>
      <c r="D16" s="25" t="s">
        <v>206</v>
      </c>
      <c r="E16" s="31">
        <f xml:space="preserve"> SUM('West Shore Lakes Water Estimate'!F7)</f>
        <v>2518.5405818866152</v>
      </c>
      <c r="F16" s="25"/>
      <c r="G16" s="25" t="s">
        <v>206</v>
      </c>
      <c r="H16" s="31">
        <f xml:space="preserve"> SUM('West Shore Lakes Water Estimate'!F9)</f>
        <v>12628.933311658539</v>
      </c>
      <c r="I16" s="25"/>
      <c r="J16" s="25" t="s">
        <v>206</v>
      </c>
      <c r="K16" s="31">
        <f xml:space="preserve"> SUM('West Shore Lakes Water Estimate'!F10)</f>
        <v>12791.266618717291</v>
      </c>
      <c r="L16" s="32">
        <f xml:space="preserve"> SUM(B16,E16,H16,K16)</f>
        <v>47867.607420282875</v>
      </c>
    </row>
    <row r="17" spans="1:12" x14ac:dyDescent="0.25">
      <c r="A17" s="19" t="s">
        <v>216</v>
      </c>
      <c r="B17" s="23">
        <f xml:space="preserve"> SUM('West Shore Lakes Water Estimate'!H$5)</f>
        <v>578.51608403296768</v>
      </c>
      <c r="D17" s="25" t="s">
        <v>217</v>
      </c>
      <c r="E17" s="31">
        <f xml:space="preserve"> SUM('West Shore Lakes Water Estimate'!H7)</f>
        <v>73.110841757128512</v>
      </c>
      <c r="F17" s="25"/>
      <c r="G17" s="25" t="s">
        <v>217</v>
      </c>
      <c r="H17" s="31">
        <f xml:space="preserve"> SUM('West Shore Lakes Water Estimate'!H9)</f>
        <v>366.60594296175765</v>
      </c>
      <c r="I17" s="25"/>
      <c r="J17" s="25" t="s">
        <v>217</v>
      </c>
      <c r="K17" s="31">
        <f xml:space="preserve"> SUM('West Shore Lakes Water Estimate'!H10)</f>
        <v>371.31832473143851</v>
      </c>
      <c r="L17" s="32">
        <f xml:space="preserve"> SUM(B17,E17,H17,K17)</f>
        <v>1389.5511934832923</v>
      </c>
    </row>
    <row r="18" spans="1:12" x14ac:dyDescent="0.25">
      <c r="A18" s="19" t="s">
        <v>183</v>
      </c>
      <c r="B18" s="23">
        <v>2500</v>
      </c>
      <c r="D18" s="25" t="s">
        <v>183</v>
      </c>
      <c r="E18" s="31">
        <v>2500</v>
      </c>
      <c r="F18" s="25"/>
      <c r="G18" s="25" t="s">
        <v>183</v>
      </c>
      <c r="H18" s="31">
        <v>2500</v>
      </c>
      <c r="I18" s="25"/>
      <c r="J18" s="25" t="s">
        <v>183</v>
      </c>
      <c r="K18" s="31">
        <v>2500</v>
      </c>
      <c r="L18" s="32">
        <f xml:space="preserve"> SUM(B18,E18,H18,K18)</f>
        <v>10000</v>
      </c>
    </row>
    <row r="20" spans="1:12" x14ac:dyDescent="0.25">
      <c r="A20" s="33" t="s">
        <v>210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1:12" x14ac:dyDescent="0.25">
      <c r="A21" s="33" t="s">
        <v>151</v>
      </c>
      <c r="B21" s="35"/>
      <c r="C21" s="34"/>
      <c r="D21" s="33" t="s">
        <v>152</v>
      </c>
      <c r="E21" s="34"/>
      <c r="F21" s="34"/>
      <c r="G21" s="33" t="s">
        <v>153</v>
      </c>
      <c r="H21" s="34"/>
      <c r="I21" s="34"/>
      <c r="J21" s="33" t="s">
        <v>209</v>
      </c>
      <c r="K21" s="34"/>
      <c r="L21" s="33" t="s">
        <v>118</v>
      </c>
    </row>
    <row r="22" spans="1:12" x14ac:dyDescent="0.25">
      <c r="A22" s="34" t="s">
        <v>156</v>
      </c>
      <c r="B22" s="36">
        <f xml:space="preserve"> 'West Shore Lakes Water Estimate'!D6</f>
        <v>266.98459725000004</v>
      </c>
      <c r="C22" s="34"/>
      <c r="D22" s="34" t="s">
        <v>156</v>
      </c>
      <c r="E22" s="37">
        <f xml:space="preserve"> 'West Shore Lakes Water Estimate'!D8</f>
        <v>47.834833005</v>
      </c>
      <c r="F22" s="34"/>
      <c r="G22" s="34" t="s">
        <v>156</v>
      </c>
      <c r="H22" s="37">
        <f xml:space="preserve"> 'West Shore Lakes Water Estimate'!D11</f>
        <v>829.65133092500002</v>
      </c>
      <c r="I22" s="34"/>
      <c r="J22" s="34" t="s">
        <v>156</v>
      </c>
      <c r="K22" s="37">
        <f xml:space="preserve"> 'West Shore Lakes Water Estimate'!D4</f>
        <v>14.156645450000001</v>
      </c>
      <c r="L22" s="38">
        <f xml:space="preserve"> SUM(B22,E22,H22,K22)</f>
        <v>1158.62740663</v>
      </c>
    </row>
    <row r="23" spans="1:12" x14ac:dyDescent="0.25">
      <c r="A23" s="39" t="s">
        <v>164</v>
      </c>
      <c r="B23" s="36">
        <v>-227</v>
      </c>
      <c r="C23" s="34"/>
      <c r="D23" s="39" t="s">
        <v>164</v>
      </c>
      <c r="E23" s="36">
        <v>-227</v>
      </c>
      <c r="F23" s="34"/>
      <c r="G23" s="39" t="s">
        <v>164</v>
      </c>
      <c r="H23" s="36">
        <v>-227</v>
      </c>
      <c r="I23" s="34"/>
      <c r="J23" s="39" t="s">
        <v>164</v>
      </c>
      <c r="K23" s="36">
        <v>-227</v>
      </c>
      <c r="L23" s="34"/>
    </row>
    <row r="24" spans="1:12" x14ac:dyDescent="0.25">
      <c r="A24" s="34" t="s">
        <v>157</v>
      </c>
      <c r="B24" s="35">
        <v>30</v>
      </c>
      <c r="C24" s="34"/>
      <c r="D24" s="34" t="s">
        <v>157</v>
      </c>
      <c r="E24" s="35">
        <v>15</v>
      </c>
      <c r="F24" s="34"/>
      <c r="G24" s="34" t="s">
        <v>157</v>
      </c>
      <c r="H24" s="35">
        <v>25</v>
      </c>
      <c r="I24" s="34"/>
      <c r="J24" s="34" t="s">
        <v>157</v>
      </c>
      <c r="K24" s="35">
        <v>5</v>
      </c>
      <c r="L24" s="34"/>
    </row>
    <row r="25" spans="1:12" x14ac:dyDescent="0.25">
      <c r="A25" s="34" t="s">
        <v>158</v>
      </c>
      <c r="B25" s="35" t="s">
        <v>165</v>
      </c>
      <c r="C25" s="34"/>
      <c r="D25" s="34" t="s">
        <v>158</v>
      </c>
      <c r="E25" s="35" t="s">
        <v>165</v>
      </c>
      <c r="F25" s="34"/>
      <c r="G25" s="34" t="s">
        <v>158</v>
      </c>
      <c r="H25" s="35" t="s">
        <v>165</v>
      </c>
      <c r="I25" s="34"/>
      <c r="J25" s="34" t="s">
        <v>158</v>
      </c>
      <c r="K25" s="35" t="s">
        <v>165</v>
      </c>
      <c r="L25" s="34"/>
    </row>
    <row r="26" spans="1:12" x14ac:dyDescent="0.25">
      <c r="A26" s="34" t="s">
        <v>168</v>
      </c>
      <c r="B26" s="35" t="s">
        <v>165</v>
      </c>
      <c r="C26" s="34"/>
      <c r="D26" s="34" t="s">
        <v>168</v>
      </c>
      <c r="E26" s="35" t="s">
        <v>165</v>
      </c>
      <c r="F26" s="34"/>
      <c r="G26" s="34" t="s">
        <v>168</v>
      </c>
      <c r="H26" s="35" t="s">
        <v>165</v>
      </c>
      <c r="I26" s="34"/>
      <c r="J26" s="34" t="s">
        <v>168</v>
      </c>
      <c r="K26" s="35" t="s">
        <v>165</v>
      </c>
      <c r="L26" s="34"/>
    </row>
    <row r="27" spans="1:12" x14ac:dyDescent="0.25">
      <c r="A27" s="34" t="s">
        <v>159</v>
      </c>
      <c r="B27" s="35" t="s">
        <v>165</v>
      </c>
      <c r="C27" s="34"/>
      <c r="D27" s="34" t="s">
        <v>159</v>
      </c>
      <c r="E27" s="35" t="s">
        <v>165</v>
      </c>
      <c r="F27" s="34"/>
      <c r="G27" s="34" t="s">
        <v>159</v>
      </c>
      <c r="H27" s="35" t="s">
        <v>165</v>
      </c>
      <c r="I27" s="34"/>
      <c r="J27" s="34" t="s">
        <v>159</v>
      </c>
      <c r="K27" s="35" t="s">
        <v>165</v>
      </c>
      <c r="L27" s="34"/>
    </row>
    <row r="28" spans="1:12" x14ac:dyDescent="0.25">
      <c r="A28" s="34" t="s">
        <v>160</v>
      </c>
      <c r="B28" s="35" t="s">
        <v>165</v>
      </c>
      <c r="C28" s="34"/>
      <c r="D28" s="34" t="s">
        <v>160</v>
      </c>
      <c r="E28" s="35" t="s">
        <v>165</v>
      </c>
      <c r="F28" s="34"/>
      <c r="G28" s="34" t="s">
        <v>160</v>
      </c>
      <c r="H28" s="35" t="s">
        <v>165</v>
      </c>
      <c r="I28" s="34"/>
      <c r="J28" s="34" t="s">
        <v>160</v>
      </c>
      <c r="K28" s="35" t="s">
        <v>167</v>
      </c>
      <c r="L28" s="34"/>
    </row>
    <row r="29" spans="1:12" x14ac:dyDescent="0.25">
      <c r="A29" s="34" t="s">
        <v>205</v>
      </c>
      <c r="B29" s="35" t="s">
        <v>165</v>
      </c>
      <c r="C29" s="34"/>
      <c r="D29" s="34" t="s">
        <v>205</v>
      </c>
      <c r="E29" s="35" t="s">
        <v>165</v>
      </c>
      <c r="F29" s="34"/>
      <c r="G29" s="34" t="s">
        <v>205</v>
      </c>
      <c r="H29" s="35" t="s">
        <v>165</v>
      </c>
      <c r="I29" s="34"/>
      <c r="J29" s="34" t="s">
        <v>205</v>
      </c>
      <c r="K29" s="35" t="s">
        <v>167</v>
      </c>
      <c r="L29" s="34"/>
    </row>
    <row r="30" spans="1:12" x14ac:dyDescent="0.25">
      <c r="A30" s="34" t="s">
        <v>163</v>
      </c>
      <c r="B30" s="35" t="s">
        <v>165</v>
      </c>
      <c r="C30" s="34"/>
      <c r="D30" s="34" t="s">
        <v>163</v>
      </c>
      <c r="E30" s="35" t="s">
        <v>165</v>
      </c>
      <c r="F30" s="34"/>
      <c r="G30" s="34" t="s">
        <v>163</v>
      </c>
      <c r="H30" s="35" t="s">
        <v>165</v>
      </c>
      <c r="I30" s="34"/>
      <c r="J30" s="34" t="s">
        <v>163</v>
      </c>
      <c r="K30" s="35" t="s">
        <v>167</v>
      </c>
      <c r="L30" s="34"/>
    </row>
    <row r="31" spans="1:12" x14ac:dyDescent="0.25">
      <c r="A31" s="34" t="s">
        <v>161</v>
      </c>
      <c r="B31" s="35" t="s">
        <v>165</v>
      </c>
      <c r="C31" s="34"/>
      <c r="D31" s="34" t="s">
        <v>161</v>
      </c>
      <c r="E31" s="35" t="s">
        <v>165</v>
      </c>
      <c r="F31" s="34"/>
      <c r="G31" s="34" t="s">
        <v>161</v>
      </c>
      <c r="H31" s="35" t="s">
        <v>165</v>
      </c>
      <c r="I31" s="34"/>
      <c r="J31" s="34" t="s">
        <v>161</v>
      </c>
      <c r="K31" s="35" t="s">
        <v>167</v>
      </c>
      <c r="L31" s="34"/>
    </row>
    <row r="32" spans="1:12" x14ac:dyDescent="0.25">
      <c r="A32" s="34" t="s">
        <v>162</v>
      </c>
      <c r="B32" s="35" t="s">
        <v>165</v>
      </c>
      <c r="C32" s="34"/>
      <c r="D32" s="34" t="s">
        <v>162</v>
      </c>
      <c r="E32" s="35" t="s">
        <v>165</v>
      </c>
      <c r="F32" s="34"/>
      <c r="G32" s="34" t="s">
        <v>162</v>
      </c>
      <c r="H32" s="35" t="s">
        <v>165</v>
      </c>
      <c r="I32" s="34"/>
      <c r="J32" s="34" t="s">
        <v>162</v>
      </c>
      <c r="K32" s="35" t="s">
        <v>167</v>
      </c>
      <c r="L32" s="34"/>
    </row>
    <row r="33" spans="1:12" x14ac:dyDescent="0.25">
      <c r="A33" s="34" t="s">
        <v>184</v>
      </c>
      <c r="B33" s="40">
        <f xml:space="preserve"> SUM('West Shores Lakes Permits'!B9,'West Shore Lakes Berm Estimates'!B44)</f>
        <v>11620959.276584845</v>
      </c>
      <c r="C33" s="34"/>
      <c r="D33" s="34" t="s">
        <v>184</v>
      </c>
      <c r="E33" s="40">
        <f xml:space="preserve"> SUM('West Shores Lakes Permits'!B10,'West Shore Lakes Berm Estimates'!B51)</f>
        <v>1267545.0699373584</v>
      </c>
      <c r="F33" s="34"/>
      <c r="G33" s="34" t="s">
        <v>184</v>
      </c>
      <c r="H33" s="40">
        <f xml:space="preserve"> SUM('West Shores Lakes Permits'!B11,'West Shore Lakes Berm Estimates'!B58)</f>
        <v>13627651.731515136</v>
      </c>
      <c r="I33" s="34"/>
      <c r="J33" s="34" t="s">
        <v>184</v>
      </c>
      <c r="K33" s="40">
        <f xml:space="preserve"> SUM('West Shores Lakes Permits'!B12,'West Shore Lakes Berm Estimates'!B67)</f>
        <v>3870183.1609801878</v>
      </c>
      <c r="L33" s="41">
        <f xml:space="preserve"> SUM(B33,E33,H33,K33)</f>
        <v>30386339.239017524</v>
      </c>
    </row>
    <row r="34" spans="1:12" x14ac:dyDescent="0.25">
      <c r="A34" s="34" t="s">
        <v>206</v>
      </c>
      <c r="B34" s="40">
        <f xml:space="preserve"> SUM('West Shore Lakes Water Estimate'!F6)</f>
        <v>190024.94215777889</v>
      </c>
      <c r="C34" s="34"/>
      <c r="D34" s="34" t="s">
        <v>206</v>
      </c>
      <c r="E34" s="40">
        <f xml:space="preserve"> SUM('West Shore Lakes Water Estimate'!F8)</f>
        <v>34046.201423337487</v>
      </c>
      <c r="F34" s="34"/>
      <c r="G34" s="34" t="s">
        <v>206</v>
      </c>
      <c r="H34" s="40">
        <f xml:space="preserve"> SUM('West Shore Lakes Water Estimate'!F11)</f>
        <v>590500.15541728924</v>
      </c>
      <c r="I34" s="34"/>
      <c r="J34" s="34" t="s">
        <v>206</v>
      </c>
      <c r="K34" s="40">
        <f xml:space="preserve"> SUM('West Shore Lakes Water Estimate'!F4)</f>
        <v>10075.921084936046</v>
      </c>
      <c r="L34" s="41">
        <f xml:space="preserve"> SUM(B34,E34,H34,K34)</f>
        <v>824647.22008334158</v>
      </c>
    </row>
    <row r="35" spans="1:12" x14ac:dyDescent="0.25">
      <c r="A35" s="34" t="s">
        <v>208</v>
      </c>
      <c r="B35" s="40">
        <f xml:space="preserve"> SUM('West Shore Lakes Water Estimate'!G6:H6)</f>
        <v>5516.2436436096032</v>
      </c>
      <c r="C35" s="34"/>
      <c r="D35" s="34" t="s">
        <v>208</v>
      </c>
      <c r="E35" s="40">
        <f xml:space="preserve"> SUM('West Shore Lakes Water Estimate'!G8:H8)</f>
        <v>988.32890071136137</v>
      </c>
      <c r="F35" s="34"/>
      <c r="G35" s="34" t="s">
        <v>208</v>
      </c>
      <c r="H35" s="40">
        <f xml:space="preserve"> SUM('West Shore Lakes Water Estimate'!G11:H11)</f>
        <v>17141.658836377977</v>
      </c>
      <c r="I35" s="34"/>
      <c r="J35" s="34" t="s">
        <v>208</v>
      </c>
      <c r="K35" s="40">
        <f xml:space="preserve"> SUM('West Shore Lakes Water Estimate'!G4:H4)</f>
        <v>292.49442208560703</v>
      </c>
      <c r="L35" s="41">
        <f xml:space="preserve"> SUM(B35,E35,H35,K35)</f>
        <v>23938.725802784549</v>
      </c>
    </row>
    <row r="36" spans="1:12" x14ac:dyDescent="0.25">
      <c r="A36" s="34" t="s">
        <v>183</v>
      </c>
      <c r="B36" s="40">
        <v>5000</v>
      </c>
      <c r="C36" s="34"/>
      <c r="D36" s="34" t="s">
        <v>183</v>
      </c>
      <c r="E36" s="40">
        <v>2500</v>
      </c>
      <c r="F36" s="34"/>
      <c r="G36" s="34" t="s">
        <v>183</v>
      </c>
      <c r="H36" s="40">
        <v>5000</v>
      </c>
      <c r="I36" s="34"/>
      <c r="J36" s="34" t="s">
        <v>183</v>
      </c>
      <c r="K36" s="40">
        <v>2500</v>
      </c>
      <c r="L36" s="41">
        <f xml:space="preserve"> SUM(B36,E36,H36,K36)</f>
        <v>15000</v>
      </c>
    </row>
    <row r="37" spans="1:12" x14ac:dyDescent="0.25">
      <c r="A37" s="34" t="s">
        <v>211</v>
      </c>
      <c r="B37" s="40">
        <f xml:space="preserve"> 632 + B24 * 174</f>
        <v>5852</v>
      </c>
      <c r="C37" s="34"/>
      <c r="D37" s="34" t="s">
        <v>211</v>
      </c>
      <c r="E37" s="40">
        <f xml:space="preserve"> 632 + E24 * 174</f>
        <v>3242</v>
      </c>
      <c r="F37" s="34"/>
      <c r="G37" s="34" t="s">
        <v>211</v>
      </c>
      <c r="H37" s="40">
        <f xml:space="preserve"> 632 + H24 * 174</f>
        <v>4982</v>
      </c>
      <c r="I37" s="34"/>
      <c r="J37" s="34" t="s">
        <v>211</v>
      </c>
      <c r="K37" s="40">
        <v>0</v>
      </c>
      <c r="L37" s="41">
        <f xml:space="preserve"> SUM(B37,E37,H37,K37)</f>
        <v>14076</v>
      </c>
    </row>
    <row r="38" spans="1:12" x14ac:dyDescent="0.25">
      <c r="A38" s="1"/>
    </row>
    <row r="50" spans="1:1" x14ac:dyDescent="0.25">
      <c r="A50" s="1"/>
    </row>
    <row r="62" spans="1:1" x14ac:dyDescent="0.25">
      <c r="A62" s="1"/>
    </row>
    <row r="63" spans="1:1" x14ac:dyDescent="0.25">
      <c r="A63" s="1"/>
    </row>
    <row r="75" spans="1:1" x14ac:dyDescent="0.25">
      <c r="A75" s="1"/>
    </row>
    <row r="77" spans="1:1" x14ac:dyDescent="0.25">
      <c r="A77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0"/>
  <sheetViews>
    <sheetView tabSelected="1" workbookViewId="0">
      <pane ySplit="1" topLeftCell="A47" activePane="bottomLeft" state="frozen"/>
      <selection pane="bottomLeft" sqref="A1:N60"/>
    </sheetView>
  </sheetViews>
  <sheetFormatPr defaultRowHeight="15" x14ac:dyDescent="0.25"/>
  <cols>
    <col min="1" max="1" width="29.28515625" customWidth="1"/>
    <col min="9" max="9" width="9.140625" customWidth="1"/>
    <col min="14" max="14" width="12.28515625" customWidth="1"/>
  </cols>
  <sheetData>
    <row r="1" spans="1:14" x14ac:dyDescent="0.25">
      <c r="A1" s="1" t="s">
        <v>150</v>
      </c>
      <c r="B1">
        <v>2021</v>
      </c>
      <c r="C1">
        <v>2022</v>
      </c>
      <c r="D1">
        <v>2023</v>
      </c>
      <c r="E1">
        <v>2024</v>
      </c>
      <c r="F1">
        <v>2025</v>
      </c>
      <c r="G1">
        <v>2026</v>
      </c>
      <c r="H1">
        <v>2027</v>
      </c>
      <c r="I1">
        <v>2028</v>
      </c>
      <c r="J1">
        <v>2029</v>
      </c>
      <c r="K1">
        <v>2030</v>
      </c>
      <c r="L1">
        <v>2031</v>
      </c>
      <c r="M1">
        <v>2032</v>
      </c>
      <c r="N1" t="s">
        <v>154</v>
      </c>
    </row>
    <row r="2" spans="1:14" x14ac:dyDescent="0.25">
      <c r="A2" s="1" t="s">
        <v>140</v>
      </c>
    </row>
    <row r="3" spans="1:14" x14ac:dyDescent="0.25">
      <c r="A3" s="1" t="s">
        <v>139</v>
      </c>
    </row>
    <row r="4" spans="1:14" x14ac:dyDescent="0.25">
      <c r="A4" t="s">
        <v>141</v>
      </c>
      <c r="B4" s="12"/>
    </row>
    <row r="5" spans="1:14" x14ac:dyDescent="0.25">
      <c r="A5" t="s">
        <v>147</v>
      </c>
      <c r="B5" s="12"/>
      <c r="C5" s="12"/>
    </row>
    <row r="6" spans="1:14" x14ac:dyDescent="0.25">
      <c r="A6" t="s">
        <v>142</v>
      </c>
      <c r="B6" s="13"/>
      <c r="C6" s="12"/>
    </row>
    <row r="7" spans="1:14" x14ac:dyDescent="0.25">
      <c r="A7" t="s">
        <v>143</v>
      </c>
      <c r="C7" s="12"/>
    </row>
    <row r="8" spans="1:14" x14ac:dyDescent="0.25">
      <c r="A8" t="s">
        <v>144</v>
      </c>
      <c r="C8" s="15"/>
    </row>
    <row r="9" spans="1:14" x14ac:dyDescent="0.25">
      <c r="A9" t="s">
        <v>145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4" x14ac:dyDescent="0.25">
      <c r="C10" s="13"/>
      <c r="D10" s="13"/>
      <c r="E10" s="13"/>
      <c r="F10" s="13"/>
      <c r="G10" s="13"/>
      <c r="H10" s="13"/>
      <c r="I10" s="13"/>
    </row>
    <row r="11" spans="1:14" x14ac:dyDescent="0.25">
      <c r="A11" s="1" t="s">
        <v>155</v>
      </c>
    </row>
    <row r="12" spans="1:14" x14ac:dyDescent="0.25">
      <c r="A12" s="1" t="s">
        <v>146</v>
      </c>
      <c r="D12" s="12"/>
      <c r="E12" s="12"/>
    </row>
    <row r="13" spans="1:14" x14ac:dyDescent="0.25">
      <c r="A13" t="s">
        <v>141</v>
      </c>
      <c r="E13" s="12"/>
    </row>
    <row r="14" spans="1:14" x14ac:dyDescent="0.25">
      <c r="A14" t="s">
        <v>147</v>
      </c>
      <c r="F14" s="12"/>
    </row>
    <row r="15" spans="1:14" x14ac:dyDescent="0.25">
      <c r="A15" t="s">
        <v>142</v>
      </c>
      <c r="F15" s="12"/>
    </row>
    <row r="16" spans="1:14" x14ac:dyDescent="0.25">
      <c r="A16" t="s">
        <v>143</v>
      </c>
      <c r="F16" s="15"/>
    </row>
    <row r="17" spans="1:14" x14ac:dyDescent="0.25">
      <c r="A17" t="s">
        <v>144</v>
      </c>
      <c r="F17" s="14"/>
      <c r="G17" s="14"/>
      <c r="H17" s="14"/>
      <c r="I17" s="14"/>
      <c r="J17" s="14"/>
      <c r="K17" s="14"/>
      <c r="L17" s="14"/>
      <c r="M17" s="14"/>
      <c r="N17" s="14"/>
    </row>
    <row r="18" spans="1:14" x14ac:dyDescent="0.25">
      <c r="A18" t="s">
        <v>145</v>
      </c>
    </row>
    <row r="20" spans="1:14" x14ac:dyDescent="0.25">
      <c r="A20" s="1" t="s">
        <v>148</v>
      </c>
    </row>
    <row r="21" spans="1:14" x14ac:dyDescent="0.25">
      <c r="A21" t="s">
        <v>141</v>
      </c>
      <c r="B21" s="12"/>
      <c r="C21" s="12"/>
      <c r="D21" s="12"/>
      <c r="E21" s="12"/>
    </row>
    <row r="22" spans="1:14" x14ac:dyDescent="0.25">
      <c r="A22" t="s">
        <v>147</v>
      </c>
      <c r="E22" s="12"/>
    </row>
    <row r="23" spans="1:14" x14ac:dyDescent="0.25">
      <c r="A23" t="s">
        <v>142</v>
      </c>
      <c r="F23" s="12"/>
    </row>
    <row r="24" spans="1:14" x14ac:dyDescent="0.25">
      <c r="A24" t="s">
        <v>143</v>
      </c>
      <c r="F24" s="12"/>
    </row>
    <row r="25" spans="1:14" x14ac:dyDescent="0.25">
      <c r="A25" t="s">
        <v>144</v>
      </c>
      <c r="F25" s="15"/>
    </row>
    <row r="26" spans="1:14" x14ac:dyDescent="0.25">
      <c r="A26" t="s">
        <v>145</v>
      </c>
      <c r="F26" s="14"/>
      <c r="G26" s="14"/>
      <c r="H26" s="14"/>
      <c r="I26" s="14"/>
      <c r="J26" s="14"/>
      <c r="K26" s="14"/>
      <c r="L26" s="14"/>
      <c r="M26" s="14"/>
      <c r="N26" s="14"/>
    </row>
    <row r="28" spans="1:14" x14ac:dyDescent="0.25">
      <c r="A28" s="1" t="s">
        <v>149</v>
      </c>
    </row>
    <row r="29" spans="1:14" x14ac:dyDescent="0.25">
      <c r="A29" t="s">
        <v>141</v>
      </c>
      <c r="B29" s="12"/>
      <c r="C29" s="12"/>
      <c r="D29" s="12"/>
      <c r="E29" s="12"/>
    </row>
    <row r="30" spans="1:14" x14ac:dyDescent="0.25">
      <c r="A30" t="s">
        <v>147</v>
      </c>
      <c r="E30" s="12"/>
    </row>
    <row r="31" spans="1:14" x14ac:dyDescent="0.25">
      <c r="A31" t="s">
        <v>142</v>
      </c>
      <c r="F31" s="12"/>
    </row>
    <row r="32" spans="1:14" x14ac:dyDescent="0.25">
      <c r="A32" t="s">
        <v>143</v>
      </c>
      <c r="F32" s="12"/>
    </row>
    <row r="33" spans="1:14" x14ac:dyDescent="0.25">
      <c r="A33" t="s">
        <v>144</v>
      </c>
      <c r="F33" s="15"/>
    </row>
    <row r="34" spans="1:14" x14ac:dyDescent="0.25">
      <c r="A34" t="s">
        <v>145</v>
      </c>
      <c r="F34" s="14"/>
      <c r="G34" s="14"/>
      <c r="H34" s="14"/>
      <c r="I34" s="14"/>
      <c r="J34" s="14"/>
      <c r="K34" s="14"/>
      <c r="L34" s="14"/>
      <c r="M34" s="14"/>
      <c r="N34" s="14"/>
    </row>
    <row r="36" spans="1:14" x14ac:dyDescent="0.25">
      <c r="A36" s="1" t="s">
        <v>210</v>
      </c>
    </row>
    <row r="37" spans="1:14" x14ac:dyDescent="0.25">
      <c r="A37" s="1" t="s">
        <v>151</v>
      </c>
    </row>
    <row r="38" spans="1:14" x14ac:dyDescent="0.25">
      <c r="A38" t="s">
        <v>141</v>
      </c>
    </row>
    <row r="39" spans="1:14" x14ac:dyDescent="0.25">
      <c r="A39" t="s">
        <v>147</v>
      </c>
      <c r="H39" s="12"/>
      <c r="I39" s="12"/>
      <c r="J39" s="12"/>
    </row>
    <row r="40" spans="1:14" x14ac:dyDescent="0.25">
      <c r="A40" t="s">
        <v>142</v>
      </c>
      <c r="I40" s="12"/>
      <c r="J40" s="12"/>
      <c r="K40" s="13"/>
    </row>
    <row r="41" spans="1:14" x14ac:dyDescent="0.25">
      <c r="A41" t="s">
        <v>143</v>
      </c>
      <c r="J41" s="12"/>
      <c r="K41" s="12"/>
    </row>
    <row r="42" spans="1:14" x14ac:dyDescent="0.25">
      <c r="A42" t="s">
        <v>144</v>
      </c>
      <c r="J42" s="12"/>
      <c r="K42" s="12"/>
    </row>
    <row r="43" spans="1:14" x14ac:dyDescent="0.25">
      <c r="A43" t="s">
        <v>145</v>
      </c>
      <c r="K43" s="15"/>
    </row>
    <row r="44" spans="1:14" x14ac:dyDescent="0.25">
      <c r="K44" s="14"/>
      <c r="L44" s="14"/>
      <c r="M44" s="14"/>
      <c r="N44" s="14"/>
    </row>
    <row r="45" spans="1:14" x14ac:dyDescent="0.25">
      <c r="A45" s="1" t="s">
        <v>152</v>
      </c>
      <c r="N45" s="13"/>
    </row>
    <row r="46" spans="1:14" x14ac:dyDescent="0.25">
      <c r="A46" t="s">
        <v>141</v>
      </c>
      <c r="N46" s="13"/>
    </row>
    <row r="47" spans="1:14" x14ac:dyDescent="0.25">
      <c r="A47" t="s">
        <v>147</v>
      </c>
      <c r="H47" s="12"/>
      <c r="I47" s="12"/>
      <c r="J47" s="12"/>
      <c r="N47" s="13"/>
    </row>
    <row r="48" spans="1:14" x14ac:dyDescent="0.25">
      <c r="A48" t="s">
        <v>142</v>
      </c>
      <c r="I48" s="12"/>
      <c r="J48" s="12"/>
      <c r="K48" s="13"/>
      <c r="N48" s="13"/>
    </row>
    <row r="49" spans="1:14" x14ac:dyDescent="0.25">
      <c r="A49" t="s">
        <v>143</v>
      </c>
      <c r="J49" s="12"/>
      <c r="K49" s="12"/>
      <c r="N49" s="13"/>
    </row>
    <row r="50" spans="1:14" x14ac:dyDescent="0.25">
      <c r="A50" t="s">
        <v>144</v>
      </c>
      <c r="J50" s="12"/>
      <c r="K50" s="12"/>
      <c r="N50" s="13"/>
    </row>
    <row r="51" spans="1:14" x14ac:dyDescent="0.25">
      <c r="A51" t="s">
        <v>145</v>
      </c>
      <c r="K51" s="15"/>
      <c r="N51" s="13"/>
    </row>
    <row r="52" spans="1:14" x14ac:dyDescent="0.25">
      <c r="K52" s="14"/>
      <c r="L52" s="14"/>
      <c r="M52" s="14"/>
      <c r="N52" s="14"/>
    </row>
    <row r="53" spans="1:14" x14ac:dyDescent="0.25">
      <c r="A53" s="1" t="s">
        <v>153</v>
      </c>
      <c r="N53" s="13"/>
    </row>
    <row r="54" spans="1:14" x14ac:dyDescent="0.25">
      <c r="A54" t="s">
        <v>141</v>
      </c>
      <c r="N54" s="13"/>
    </row>
    <row r="55" spans="1:14" x14ac:dyDescent="0.25">
      <c r="A55" t="s">
        <v>147</v>
      </c>
      <c r="H55" s="12"/>
      <c r="I55" s="12"/>
      <c r="J55" s="12"/>
      <c r="N55" s="13"/>
    </row>
    <row r="56" spans="1:14" x14ac:dyDescent="0.25">
      <c r="A56" t="s">
        <v>142</v>
      </c>
      <c r="I56" s="12"/>
      <c r="J56" s="12"/>
      <c r="K56" s="13"/>
      <c r="N56" s="13"/>
    </row>
    <row r="57" spans="1:14" x14ac:dyDescent="0.25">
      <c r="A57" t="s">
        <v>143</v>
      </c>
      <c r="J57" s="12"/>
      <c r="K57" s="12"/>
      <c r="N57" s="13"/>
    </row>
    <row r="58" spans="1:14" x14ac:dyDescent="0.25">
      <c r="A58" t="s">
        <v>144</v>
      </c>
      <c r="J58" s="12"/>
      <c r="K58" s="12"/>
      <c r="N58" s="13"/>
    </row>
    <row r="59" spans="1:14" x14ac:dyDescent="0.25">
      <c r="A59" t="s">
        <v>145</v>
      </c>
      <c r="K59" s="15"/>
      <c r="N59" s="13"/>
    </row>
    <row r="60" spans="1:14" x14ac:dyDescent="0.25">
      <c r="K60" s="14"/>
      <c r="L60" s="14"/>
      <c r="M60" s="14"/>
      <c r="N60" s="14"/>
    </row>
  </sheetData>
  <printOptions gridLines="1"/>
  <pageMargins left="0.7" right="0.7" top="0.75" bottom="0.75" header="0.3" footer="0.3"/>
  <pageSetup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workbookViewId="0">
      <selection activeCell="B17" sqref="B17"/>
    </sheetView>
  </sheetViews>
  <sheetFormatPr defaultRowHeight="15" x14ac:dyDescent="0.25"/>
  <cols>
    <col min="1" max="1" width="46.7109375" customWidth="1"/>
    <col min="2" max="2" width="12.7109375" customWidth="1"/>
    <col min="3" max="3" width="15.28515625" customWidth="1"/>
    <col min="4" max="4" width="12.5703125" customWidth="1"/>
    <col min="5" max="5" width="12.85546875" customWidth="1"/>
    <col min="6" max="6" width="11.5703125" customWidth="1"/>
    <col min="7" max="7" width="12.28515625" customWidth="1"/>
    <col min="8" max="8" width="10.5703125" customWidth="1"/>
    <col min="9" max="9" width="11.7109375" customWidth="1"/>
    <col min="10" max="10" width="11" customWidth="1"/>
    <col min="11" max="11" width="11.140625" customWidth="1"/>
    <col min="12" max="12" width="10.140625" customWidth="1"/>
    <col min="13" max="13" width="11.7109375" customWidth="1"/>
    <col min="14" max="14" width="10.140625" customWidth="1"/>
    <col min="15" max="15" width="10.140625" bestFit="1" customWidth="1"/>
  </cols>
  <sheetData>
    <row r="1" spans="1:15" s="1" customFormat="1" x14ac:dyDescent="0.25">
      <c r="A1" s="1" t="s">
        <v>150</v>
      </c>
      <c r="B1" s="1" t="s">
        <v>200</v>
      </c>
      <c r="C1" s="1" t="s">
        <v>141</v>
      </c>
      <c r="D1" s="1" t="s">
        <v>169</v>
      </c>
      <c r="E1" s="1" t="s">
        <v>170</v>
      </c>
      <c r="F1" s="1" t="s">
        <v>182</v>
      </c>
      <c r="G1" s="1" t="s">
        <v>174</v>
      </c>
      <c r="H1" s="1" t="s">
        <v>171</v>
      </c>
      <c r="I1" s="1" t="s">
        <v>172</v>
      </c>
      <c r="J1" s="1" t="s">
        <v>173</v>
      </c>
      <c r="K1" s="1" t="s">
        <v>194</v>
      </c>
      <c r="L1" s="1" t="s">
        <v>175</v>
      </c>
      <c r="M1" s="1" t="s">
        <v>176</v>
      </c>
      <c r="N1" s="1" t="s">
        <v>177</v>
      </c>
      <c r="O1" s="1" t="s">
        <v>178</v>
      </c>
    </row>
    <row r="2" spans="1:15" s="1" customFormat="1" x14ac:dyDescent="0.25">
      <c r="A2" s="1" t="s">
        <v>179</v>
      </c>
      <c r="C2" s="16"/>
      <c r="D2" s="16"/>
      <c r="E2" s="16">
        <v>35000</v>
      </c>
      <c r="F2" s="16"/>
      <c r="G2" s="16">
        <v>30000</v>
      </c>
      <c r="H2" s="16"/>
      <c r="I2" s="16"/>
      <c r="J2" s="16"/>
      <c r="K2" s="16"/>
      <c r="L2" s="16"/>
      <c r="M2" s="16"/>
      <c r="N2" s="16"/>
      <c r="O2" s="16"/>
    </row>
    <row r="3" spans="1:15" s="1" customFormat="1" x14ac:dyDescent="0.25">
      <c r="A3" s="6" t="s">
        <v>186</v>
      </c>
      <c r="B3" s="17">
        <f xml:space="preserve"> SUM(C3:O3)</f>
        <v>61650</v>
      </c>
      <c r="C3" s="5">
        <v>0</v>
      </c>
      <c r="D3" s="16">
        <v>12000</v>
      </c>
      <c r="E3" s="16">
        <f t="shared" ref="E3:E6" si="0" xml:space="preserve"> E$2 / 4</f>
        <v>8750</v>
      </c>
      <c r="F3" s="16">
        <v>3500</v>
      </c>
      <c r="G3" s="16">
        <f xml:space="preserve"> G$2 / 4</f>
        <v>7500</v>
      </c>
      <c r="H3" s="16">
        <v>2600</v>
      </c>
      <c r="I3" s="16">
        <v>10200</v>
      </c>
      <c r="J3" s="16">
        <v>3500</v>
      </c>
      <c r="K3" s="16">
        <v>0</v>
      </c>
      <c r="L3" s="16">
        <v>2200</v>
      </c>
      <c r="M3" s="16">
        <f xml:space="preserve"> 13000 - 1600</f>
        <v>11400</v>
      </c>
      <c r="N3" s="16">
        <v>0</v>
      </c>
      <c r="O3" s="16">
        <v>0</v>
      </c>
    </row>
    <row r="4" spans="1:15" s="1" customFormat="1" x14ac:dyDescent="0.25">
      <c r="A4" s="6" t="s">
        <v>187</v>
      </c>
      <c r="B4" s="17">
        <f t="shared" ref="B4:B6" si="1" xml:space="preserve"> SUM(C4:O4)</f>
        <v>114250</v>
      </c>
      <c r="C4" s="5">
        <v>10000</v>
      </c>
      <c r="D4" s="16">
        <v>24000</v>
      </c>
      <c r="E4" s="16">
        <f t="shared" si="0"/>
        <v>8750</v>
      </c>
      <c r="F4" s="16">
        <v>18500</v>
      </c>
      <c r="G4" s="16">
        <f t="shared" ref="G4:G6" si="2" xml:space="preserve"> G$2 / 4</f>
        <v>7500</v>
      </c>
      <c r="H4" s="16">
        <v>2600</v>
      </c>
      <c r="I4" s="16">
        <v>10200</v>
      </c>
      <c r="J4" s="16">
        <v>3500</v>
      </c>
      <c r="K4" s="16">
        <v>0</v>
      </c>
      <c r="L4" s="16">
        <v>2800</v>
      </c>
      <c r="M4" s="16">
        <v>13000</v>
      </c>
      <c r="N4" s="16">
        <v>2400</v>
      </c>
      <c r="O4" s="16">
        <v>11000</v>
      </c>
    </row>
    <row r="5" spans="1:15" s="1" customFormat="1" x14ac:dyDescent="0.25">
      <c r="A5" s="6" t="s">
        <v>188</v>
      </c>
      <c r="B5" s="17">
        <f t="shared" si="1"/>
        <v>105250</v>
      </c>
      <c r="C5" s="5">
        <v>5000</v>
      </c>
      <c r="D5" s="16">
        <v>20000</v>
      </c>
      <c r="E5" s="16">
        <f t="shared" si="0"/>
        <v>8750</v>
      </c>
      <c r="F5" s="16">
        <v>18500</v>
      </c>
      <c r="G5" s="16">
        <f t="shared" si="2"/>
        <v>7500</v>
      </c>
      <c r="H5" s="16">
        <v>2600</v>
      </c>
      <c r="I5" s="16">
        <v>10200</v>
      </c>
      <c r="J5" s="16">
        <v>3500</v>
      </c>
      <c r="K5" s="16">
        <v>0</v>
      </c>
      <c r="L5" s="16">
        <v>2800</v>
      </c>
      <c r="M5" s="16">
        <v>13000</v>
      </c>
      <c r="N5" s="16">
        <v>2400</v>
      </c>
      <c r="O5" s="16">
        <v>11000</v>
      </c>
    </row>
    <row r="6" spans="1:15" s="1" customFormat="1" x14ac:dyDescent="0.25">
      <c r="A6" s="6" t="s">
        <v>189</v>
      </c>
      <c r="B6" s="17">
        <f t="shared" si="1"/>
        <v>95250</v>
      </c>
      <c r="C6" s="5">
        <v>5000</v>
      </c>
      <c r="D6" s="16">
        <v>10000</v>
      </c>
      <c r="E6" s="16">
        <f t="shared" si="0"/>
        <v>8750</v>
      </c>
      <c r="F6" s="16">
        <v>18500</v>
      </c>
      <c r="G6" s="16">
        <f t="shared" si="2"/>
        <v>7500</v>
      </c>
      <c r="H6" s="16">
        <v>2600</v>
      </c>
      <c r="I6" s="16">
        <v>10200</v>
      </c>
      <c r="J6" s="16">
        <v>3500</v>
      </c>
      <c r="K6" s="16">
        <v>0</v>
      </c>
      <c r="L6" s="16">
        <v>2800</v>
      </c>
      <c r="M6" s="16">
        <v>13000</v>
      </c>
      <c r="N6" s="16">
        <v>2400</v>
      </c>
      <c r="O6" s="16">
        <v>11000</v>
      </c>
    </row>
    <row r="7" spans="1:15" s="1" customFormat="1" x14ac:dyDescent="0.25">
      <c r="A7" s="6"/>
      <c r="C7" s="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s="1" customFormat="1" x14ac:dyDescent="0.25">
      <c r="A8" s="1" t="s">
        <v>180</v>
      </c>
      <c r="C8" s="5">
        <v>10000</v>
      </c>
      <c r="D8" s="16"/>
      <c r="E8" s="16">
        <v>35000</v>
      </c>
      <c r="F8" s="16"/>
      <c r="G8" s="16">
        <v>140000</v>
      </c>
      <c r="H8" s="16"/>
      <c r="I8" s="16"/>
      <c r="J8" s="16"/>
      <c r="K8" s="16"/>
      <c r="L8" s="16"/>
      <c r="M8" s="16"/>
      <c r="N8" s="16"/>
      <c r="O8" s="16"/>
    </row>
    <row r="9" spans="1:15" s="1" customFormat="1" x14ac:dyDescent="0.25">
      <c r="A9" s="6" t="s">
        <v>190</v>
      </c>
      <c r="B9" s="17">
        <f t="shared" ref="B9:B12" si="3" xml:space="preserve"> SUM(C9:O9)</f>
        <v>547617</v>
      </c>
      <c r="C9" s="16">
        <f xml:space="preserve"> C$8 / 4</f>
        <v>2500</v>
      </c>
      <c r="D9" s="16">
        <v>200000</v>
      </c>
      <c r="E9" s="16">
        <f xml:space="preserve"> E$8 / 4</f>
        <v>8750</v>
      </c>
      <c r="F9" s="16">
        <v>150000</v>
      </c>
      <c r="G9" s="16">
        <f xml:space="preserve"> G$8 / 4</f>
        <v>35000</v>
      </c>
      <c r="H9" s="16">
        <v>2600</v>
      </c>
      <c r="I9" s="16">
        <v>10200</v>
      </c>
      <c r="J9" s="16">
        <v>3500</v>
      </c>
      <c r="K9" s="16">
        <v>105867</v>
      </c>
      <c r="L9" s="16">
        <v>2800</v>
      </c>
      <c r="M9" s="16">
        <v>13000</v>
      </c>
      <c r="N9" s="16">
        <v>2400</v>
      </c>
      <c r="O9" s="16">
        <v>11000</v>
      </c>
    </row>
    <row r="10" spans="1:15" s="1" customFormat="1" x14ac:dyDescent="0.25">
      <c r="A10" s="6" t="s">
        <v>191</v>
      </c>
      <c r="B10" s="17">
        <f t="shared" si="3"/>
        <v>185974</v>
      </c>
      <c r="C10" s="16">
        <f t="shared" ref="C10:G12" si="4" xml:space="preserve"> C$8 / 4</f>
        <v>2500</v>
      </c>
      <c r="D10" s="16">
        <v>20000</v>
      </c>
      <c r="E10" s="16">
        <f t="shared" si="4"/>
        <v>8750</v>
      </c>
      <c r="F10" s="16">
        <v>50000</v>
      </c>
      <c r="G10" s="16">
        <f t="shared" si="4"/>
        <v>35000</v>
      </c>
      <c r="H10" s="16">
        <v>2600</v>
      </c>
      <c r="I10" s="16">
        <v>10200</v>
      </c>
      <c r="J10" s="16">
        <v>3500</v>
      </c>
      <c r="K10" s="16">
        <v>24224</v>
      </c>
      <c r="L10" s="16">
        <v>2800</v>
      </c>
      <c r="M10" s="16">
        <v>13000</v>
      </c>
      <c r="N10" s="16">
        <v>2400</v>
      </c>
      <c r="O10" s="16">
        <v>11000</v>
      </c>
    </row>
    <row r="11" spans="1:15" s="1" customFormat="1" x14ac:dyDescent="0.25">
      <c r="A11" s="6" t="s">
        <v>192</v>
      </c>
      <c r="B11" s="17">
        <f t="shared" si="3"/>
        <v>428247</v>
      </c>
      <c r="C11" s="16">
        <f t="shared" si="4"/>
        <v>2500</v>
      </c>
      <c r="D11" s="16">
        <v>20000</v>
      </c>
      <c r="E11" s="16">
        <f t="shared" si="4"/>
        <v>8750</v>
      </c>
      <c r="F11" s="16">
        <v>200000</v>
      </c>
      <c r="G11" s="16">
        <f t="shared" si="4"/>
        <v>35000</v>
      </c>
      <c r="H11" s="16">
        <v>2600</v>
      </c>
      <c r="I11" s="16">
        <v>10200</v>
      </c>
      <c r="J11" s="16">
        <v>3500</v>
      </c>
      <c r="K11" s="16">
        <v>116497</v>
      </c>
      <c r="L11" s="16">
        <v>2800</v>
      </c>
      <c r="M11" s="16">
        <v>13000</v>
      </c>
      <c r="N11" s="16">
        <v>2400</v>
      </c>
      <c r="O11" s="16">
        <v>11000</v>
      </c>
    </row>
    <row r="12" spans="1:15" s="1" customFormat="1" x14ac:dyDescent="0.25">
      <c r="A12" s="6" t="s">
        <v>193</v>
      </c>
      <c r="B12" s="17">
        <f t="shared" si="3"/>
        <v>191750</v>
      </c>
      <c r="C12" s="16">
        <f t="shared" si="4"/>
        <v>2500</v>
      </c>
      <c r="D12" s="16">
        <v>50000</v>
      </c>
      <c r="E12" s="16">
        <f t="shared" si="4"/>
        <v>8750</v>
      </c>
      <c r="F12" s="16">
        <v>50000</v>
      </c>
      <c r="G12" s="16">
        <f t="shared" si="4"/>
        <v>35000</v>
      </c>
      <c r="H12" s="16">
        <v>2600</v>
      </c>
      <c r="I12" s="16">
        <v>10200</v>
      </c>
      <c r="J12" s="16">
        <v>3500</v>
      </c>
      <c r="K12" s="16">
        <v>0</v>
      </c>
      <c r="L12" s="16">
        <v>2800</v>
      </c>
      <c r="M12" s="16">
        <v>13000</v>
      </c>
      <c r="N12" s="16">
        <v>2400</v>
      </c>
      <c r="O12" s="16">
        <v>11000</v>
      </c>
    </row>
    <row r="13" spans="1:15" s="1" customFormat="1" x14ac:dyDescent="0.25">
      <c r="A13" s="6"/>
      <c r="C13" s="5"/>
      <c r="D13" s="16"/>
      <c r="E13" s="17"/>
      <c r="F13" s="17"/>
      <c r="G13" s="16"/>
      <c r="H13" s="16"/>
      <c r="I13" s="16"/>
      <c r="J13" s="16"/>
      <c r="K13" s="16"/>
      <c r="L13" s="16"/>
      <c r="M13" s="16"/>
      <c r="N13" s="16"/>
      <c r="O13" s="16"/>
    </row>
    <row r="14" spans="1:15" s="1" customFormat="1" x14ac:dyDescent="0.25">
      <c r="A14" t="s">
        <v>181</v>
      </c>
      <c r="C14" s="16">
        <f xml:space="preserve"> SUM(C3:C6,C9:C12)</f>
        <v>30000</v>
      </c>
      <c r="D14" s="16">
        <f t="shared" ref="D14:O14" si="5" xml:space="preserve"> SUM(D3:D6,D9:D12)</f>
        <v>356000</v>
      </c>
      <c r="E14" s="16">
        <f t="shared" si="5"/>
        <v>70000</v>
      </c>
      <c r="F14" s="16">
        <f t="shared" si="5"/>
        <v>509000</v>
      </c>
      <c r="G14" s="16">
        <f t="shared" si="5"/>
        <v>170000</v>
      </c>
      <c r="H14" s="16">
        <f t="shared" si="5"/>
        <v>20800</v>
      </c>
      <c r="I14" s="16">
        <f t="shared" si="5"/>
        <v>81600</v>
      </c>
      <c r="J14" s="16">
        <f t="shared" si="5"/>
        <v>28000</v>
      </c>
      <c r="K14" s="16">
        <f t="shared" si="5"/>
        <v>246588</v>
      </c>
      <c r="L14" s="16">
        <f t="shared" si="5"/>
        <v>21800</v>
      </c>
      <c r="M14" s="16">
        <f t="shared" si="5"/>
        <v>102400</v>
      </c>
      <c r="N14" s="16">
        <f t="shared" si="5"/>
        <v>16800</v>
      </c>
      <c r="O14" s="16">
        <f t="shared" si="5"/>
        <v>77000</v>
      </c>
    </row>
    <row r="15" spans="1:15" x14ac:dyDescent="0.25">
      <c r="A15" t="s">
        <v>185</v>
      </c>
      <c r="B15" s="17">
        <f xml:space="preserve"> SUM(B3:B6,B9:B12)</f>
        <v>1729988</v>
      </c>
      <c r="C15" s="5"/>
    </row>
  </sheetData>
  <printOptions gridLines="1"/>
  <pageMargins left="0.7" right="0.7" top="0.75" bottom="0.75" header="0.3" footer="0.3"/>
  <pageSetup scale="5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7"/>
  <sheetViews>
    <sheetView workbookViewId="0">
      <selection activeCell="H7" sqref="H7"/>
    </sheetView>
  </sheetViews>
  <sheetFormatPr defaultRowHeight="15" x14ac:dyDescent="0.25"/>
  <cols>
    <col min="1" max="1" width="49.140625" customWidth="1"/>
    <col min="2" max="2" width="13.5703125" customWidth="1"/>
    <col min="3" max="3" width="15.7109375" customWidth="1"/>
    <col min="4" max="4" width="13.42578125" customWidth="1"/>
    <col min="5" max="5" width="13.85546875" bestFit="1" customWidth="1"/>
  </cols>
  <sheetData>
    <row r="1" spans="1:5" x14ac:dyDescent="0.25">
      <c r="A1" s="1" t="s">
        <v>196</v>
      </c>
      <c r="B1" s="1" t="s">
        <v>0</v>
      </c>
      <c r="C1" s="1" t="s">
        <v>1</v>
      </c>
      <c r="D1" s="1" t="s">
        <v>0</v>
      </c>
      <c r="E1" s="1" t="s">
        <v>1</v>
      </c>
    </row>
    <row r="2" spans="1:5" x14ac:dyDescent="0.25">
      <c r="A2" t="s">
        <v>75</v>
      </c>
      <c r="B2" s="5">
        <f xml:space="preserve"> D2 * 3.28084</f>
        <v>128.60892800000002</v>
      </c>
      <c r="C2" t="s">
        <v>80</v>
      </c>
      <c r="D2" s="5">
        <f xml:space="preserve"> 2940 * 2 /150</f>
        <v>39.200000000000003</v>
      </c>
      <c r="E2" t="s">
        <v>77</v>
      </c>
    </row>
    <row r="3" spans="1:5" x14ac:dyDescent="0.25">
      <c r="A3" t="s">
        <v>76</v>
      </c>
      <c r="B3" s="5">
        <f xml:space="preserve"> 4.04 * 1.30795</f>
        <v>5.2841179999999994</v>
      </c>
      <c r="C3" s="6" t="s">
        <v>79</v>
      </c>
      <c r="D3" s="5">
        <v>4.04</v>
      </c>
      <c r="E3" s="6" t="s">
        <v>78</v>
      </c>
    </row>
    <row r="5" spans="1:5" s="1" customFormat="1" x14ac:dyDescent="0.25">
      <c r="A5" s="1" t="s">
        <v>113</v>
      </c>
    </row>
    <row r="6" spans="1:5" s="1" customFormat="1" x14ac:dyDescent="0.25">
      <c r="A6" s="6" t="s">
        <v>65</v>
      </c>
      <c r="B6" s="4">
        <v>20.7</v>
      </c>
      <c r="C6" s="6" t="s">
        <v>48</v>
      </c>
      <c r="D6" s="4">
        <f xml:space="preserve"> B6 * 3.28084</f>
        <v>67.913387999999998</v>
      </c>
      <c r="E6" s="6" t="s">
        <v>19</v>
      </c>
    </row>
    <row r="7" spans="1:5" s="1" customFormat="1" x14ac:dyDescent="0.25">
      <c r="A7" s="6" t="s">
        <v>66</v>
      </c>
      <c r="B7" s="4">
        <v>1</v>
      </c>
      <c r="C7" s="6" t="s">
        <v>61</v>
      </c>
      <c r="D7" s="4">
        <v>1</v>
      </c>
      <c r="E7" s="6" t="s">
        <v>61</v>
      </c>
    </row>
    <row r="8" spans="1:5" s="1" customFormat="1" x14ac:dyDescent="0.25">
      <c r="A8" s="6" t="s">
        <v>67</v>
      </c>
      <c r="B8" s="4">
        <f xml:space="preserve"> B$61 * B$62 * B6 * B7</f>
        <v>125.00103231993378</v>
      </c>
      <c r="C8" s="6" t="s">
        <v>59</v>
      </c>
      <c r="D8" s="10">
        <f xml:space="preserve"> B8 * 1.30795</f>
        <v>163.49510022285739</v>
      </c>
      <c r="E8" s="6" t="s">
        <v>60</v>
      </c>
    </row>
    <row r="9" spans="1:5" s="1" customFormat="1" x14ac:dyDescent="0.25">
      <c r="A9" s="6" t="s">
        <v>81</v>
      </c>
      <c r="B9" s="5">
        <f xml:space="preserve"> B$2 * B6 * B7</f>
        <v>2662.2048096000003</v>
      </c>
      <c r="C9" s="6"/>
      <c r="D9" s="5">
        <f xml:space="preserve"> D$2 * D6 * D7</f>
        <v>2662.2048096000003</v>
      </c>
      <c r="E9" s="6"/>
    </row>
    <row r="10" spans="1:5" s="1" customFormat="1" x14ac:dyDescent="0.25">
      <c r="A10" s="6" t="s">
        <v>82</v>
      </c>
      <c r="B10" s="5">
        <f xml:space="preserve"> B$3 * B8</f>
        <v>660.52020490034374</v>
      </c>
      <c r="C10" s="6"/>
      <c r="D10" s="5">
        <f xml:space="preserve"> D$3 * D8</f>
        <v>660.52020490034386</v>
      </c>
      <c r="E10" s="6"/>
    </row>
    <row r="11" spans="1:5" s="1" customFormat="1" x14ac:dyDescent="0.25">
      <c r="A11" s="1" t="s">
        <v>195</v>
      </c>
      <c r="B11" s="5">
        <f xml:space="preserve"> SUM(B9:B10)</f>
        <v>3322.7250145003441</v>
      </c>
      <c r="C11" s="6"/>
      <c r="D11" s="5"/>
      <c r="E11" s="6"/>
    </row>
    <row r="12" spans="1:5" s="1" customFormat="1" x14ac:dyDescent="0.25">
      <c r="A12" s="6"/>
      <c r="B12" s="5"/>
      <c r="C12" s="6"/>
      <c r="D12" s="5"/>
      <c r="E12" s="6"/>
    </row>
    <row r="13" spans="1:5" s="1" customFormat="1" x14ac:dyDescent="0.25">
      <c r="A13" s="6" t="s">
        <v>85</v>
      </c>
      <c r="B13" s="4">
        <v>133</v>
      </c>
      <c r="C13" s="6" t="s">
        <v>48</v>
      </c>
      <c r="D13" s="4">
        <f xml:space="preserve"> B13 * 3.28084</f>
        <v>436.35172</v>
      </c>
      <c r="E13" s="6" t="s">
        <v>19</v>
      </c>
    </row>
    <row r="14" spans="1:5" s="1" customFormat="1" x14ac:dyDescent="0.25">
      <c r="A14" s="6" t="s">
        <v>86</v>
      </c>
      <c r="B14" s="4">
        <v>1</v>
      </c>
      <c r="C14" s="6" t="s">
        <v>61</v>
      </c>
      <c r="D14" s="4">
        <v>1</v>
      </c>
      <c r="E14" s="6" t="s">
        <v>61</v>
      </c>
    </row>
    <row r="15" spans="1:5" s="1" customFormat="1" x14ac:dyDescent="0.25">
      <c r="A15" s="6" t="s">
        <v>87</v>
      </c>
      <c r="B15" s="4">
        <f xml:space="preserve"> B$61 * B$62 * B13 * B14</f>
        <v>803.14672939860839</v>
      </c>
      <c r="C15" s="6" t="s">
        <v>59</v>
      </c>
      <c r="D15" s="10">
        <f xml:space="preserve"> B15 * 1.30795</f>
        <v>1050.4757647169099</v>
      </c>
      <c r="E15" s="6" t="s">
        <v>60</v>
      </c>
    </row>
    <row r="16" spans="1:5" s="1" customFormat="1" x14ac:dyDescent="0.25">
      <c r="A16" s="6" t="s">
        <v>88</v>
      </c>
      <c r="B16" s="5">
        <f xml:space="preserve"> B$2 * B13 * B14</f>
        <v>17104.987424000003</v>
      </c>
      <c r="C16" s="6"/>
      <c r="D16" s="5">
        <f xml:space="preserve"> D$2 * D13 * D14</f>
        <v>17104.987424000003</v>
      </c>
      <c r="E16" s="6"/>
    </row>
    <row r="17" spans="1:5" s="1" customFormat="1" x14ac:dyDescent="0.25">
      <c r="A17" s="6" t="s">
        <v>89</v>
      </c>
      <c r="B17" s="5">
        <f xml:space="preserve"> B$3 * B15</f>
        <v>4243.922089456315</v>
      </c>
      <c r="C17" s="6"/>
      <c r="D17" s="5">
        <f xml:space="preserve"> D$3 * D15</f>
        <v>4243.9220894563159</v>
      </c>
      <c r="E17" s="6"/>
    </row>
    <row r="18" spans="1:5" s="1" customFormat="1" x14ac:dyDescent="0.25">
      <c r="A18" s="1" t="s">
        <v>195</v>
      </c>
      <c r="B18" s="5">
        <f xml:space="preserve"> SUM(B16:B17)</f>
        <v>21348.909513456318</v>
      </c>
      <c r="C18" s="6"/>
      <c r="D18" s="5"/>
      <c r="E18" s="6"/>
    </row>
    <row r="19" spans="1:5" s="1" customFormat="1" x14ac:dyDescent="0.25">
      <c r="A19" s="6"/>
      <c r="B19" s="5"/>
      <c r="C19" s="6"/>
      <c r="D19" s="5"/>
      <c r="E19" s="6"/>
    </row>
    <row r="20" spans="1:5" s="1" customFormat="1" x14ac:dyDescent="0.25">
      <c r="A20" s="6" t="s">
        <v>90</v>
      </c>
      <c r="B20" s="4">
        <v>46.5</v>
      </c>
      <c r="C20" s="6" t="s">
        <v>48</v>
      </c>
      <c r="D20" s="4">
        <f xml:space="preserve"> B20 * 3.28084</f>
        <v>152.55905999999999</v>
      </c>
      <c r="E20" s="6" t="s">
        <v>19</v>
      </c>
    </row>
    <row r="21" spans="1:5" s="1" customFormat="1" x14ac:dyDescent="0.25">
      <c r="A21" s="6" t="s">
        <v>91</v>
      </c>
      <c r="B21" s="4">
        <v>1</v>
      </c>
      <c r="C21" s="6" t="s">
        <v>61</v>
      </c>
      <c r="D21" s="4">
        <v>1</v>
      </c>
      <c r="E21" s="6" t="s">
        <v>61</v>
      </c>
    </row>
    <row r="22" spans="1:5" s="1" customFormat="1" x14ac:dyDescent="0.25">
      <c r="A22" s="6" t="s">
        <v>92</v>
      </c>
      <c r="B22" s="4">
        <f xml:space="preserve"> B$61 * B$62 * B20 * B21</f>
        <v>280.79942042883675</v>
      </c>
      <c r="C22" s="6" t="s">
        <v>59</v>
      </c>
      <c r="D22" s="10">
        <f xml:space="preserve"> B22 * 1.30795</f>
        <v>367.27160194989699</v>
      </c>
      <c r="E22" s="6" t="s">
        <v>60</v>
      </c>
    </row>
    <row r="23" spans="1:5" s="1" customFormat="1" x14ac:dyDescent="0.25">
      <c r="A23" s="6" t="s">
        <v>93</v>
      </c>
      <c r="B23" s="5">
        <f xml:space="preserve"> B$2 * B20 * B21</f>
        <v>5980.315152000001</v>
      </c>
      <c r="C23" s="6"/>
      <c r="D23" s="5">
        <f xml:space="preserve"> D$2 * D20 * D21</f>
        <v>5980.3151520000001</v>
      </c>
      <c r="E23" s="6"/>
    </row>
    <row r="24" spans="1:5" s="1" customFormat="1" x14ac:dyDescent="0.25">
      <c r="A24" s="6" t="s">
        <v>94</v>
      </c>
      <c r="B24" s="5">
        <f xml:space="preserve"> B$3 * B22</f>
        <v>1483.7772718775839</v>
      </c>
      <c r="C24" s="6"/>
      <c r="D24" s="5">
        <f xml:space="preserve"> D$3 * D22</f>
        <v>1483.7772718775839</v>
      </c>
      <c r="E24" s="6"/>
    </row>
    <row r="25" spans="1:5" s="1" customFormat="1" x14ac:dyDescent="0.25">
      <c r="A25" s="1" t="s">
        <v>195</v>
      </c>
      <c r="B25" s="5">
        <f xml:space="preserve"> SUM(B23:B24)</f>
        <v>7464.0924238775851</v>
      </c>
      <c r="C25" s="6"/>
      <c r="D25" s="5"/>
      <c r="E25" s="6"/>
    </row>
    <row r="26" spans="1:5" s="1" customFormat="1" x14ac:dyDescent="0.25">
      <c r="A26" s="6"/>
      <c r="B26" s="5"/>
      <c r="C26" s="6"/>
      <c r="D26" s="5"/>
      <c r="E26" s="6"/>
    </row>
    <row r="27" spans="1:5" s="1" customFormat="1" x14ac:dyDescent="0.25">
      <c r="A27" s="6" t="s">
        <v>95</v>
      </c>
      <c r="B27" s="4">
        <v>40</v>
      </c>
      <c r="C27" s="6" t="s">
        <v>48</v>
      </c>
      <c r="D27" s="4">
        <f xml:space="preserve"> B27 * 3.28084</f>
        <v>131.2336</v>
      </c>
      <c r="E27" s="6" t="s">
        <v>19</v>
      </c>
    </row>
    <row r="28" spans="1:5" s="1" customFormat="1" x14ac:dyDescent="0.25">
      <c r="A28" s="6" t="s">
        <v>96</v>
      </c>
      <c r="B28" s="4">
        <v>1</v>
      </c>
      <c r="C28" s="6" t="s">
        <v>61</v>
      </c>
      <c r="D28" s="4">
        <v>1</v>
      </c>
      <c r="E28" s="6" t="s">
        <v>61</v>
      </c>
    </row>
    <row r="29" spans="1:5" s="1" customFormat="1" x14ac:dyDescent="0.25">
      <c r="A29" s="6" t="s">
        <v>97</v>
      </c>
      <c r="B29" s="4">
        <f xml:space="preserve"> B$61 * B$62 * B27 * B28</f>
        <v>241.54788854093485</v>
      </c>
      <c r="C29" s="6" t="s">
        <v>59</v>
      </c>
      <c r="D29" s="10">
        <f xml:space="preserve"> B29 * 1.30795</f>
        <v>315.9325608171157</v>
      </c>
      <c r="E29" s="6" t="s">
        <v>60</v>
      </c>
    </row>
    <row r="30" spans="1:5" s="1" customFormat="1" x14ac:dyDescent="0.25">
      <c r="A30" s="6" t="s">
        <v>98</v>
      </c>
      <c r="B30" s="5">
        <f xml:space="preserve"> B$2 * B27 * B28</f>
        <v>5144.3571200000006</v>
      </c>
      <c r="C30" s="6"/>
      <c r="D30" s="5">
        <f xml:space="preserve"> D$2 * D27 * D28</f>
        <v>5144.3571200000006</v>
      </c>
      <c r="E30" s="6"/>
    </row>
    <row r="31" spans="1:5" s="1" customFormat="1" x14ac:dyDescent="0.25">
      <c r="A31" s="6" t="s">
        <v>99</v>
      </c>
      <c r="B31" s="5">
        <f xml:space="preserve"> B$3 * B29</f>
        <v>1276.3675457011475</v>
      </c>
      <c r="C31" s="6"/>
      <c r="D31" s="5">
        <f xml:space="preserve"> D$3 * D29</f>
        <v>1276.3675457011475</v>
      </c>
      <c r="E31" s="6"/>
    </row>
    <row r="32" spans="1:5" s="1" customFormat="1" x14ac:dyDescent="0.25">
      <c r="A32" s="1" t="s">
        <v>195</v>
      </c>
      <c r="B32" s="5">
        <f xml:space="preserve"> SUM(B30:B31)</f>
        <v>6420.7246657011483</v>
      </c>
      <c r="C32" s="6"/>
      <c r="D32" s="5"/>
      <c r="E32" s="6"/>
    </row>
    <row r="33" spans="1:5" s="1" customFormat="1" x14ac:dyDescent="0.25">
      <c r="A33" s="6"/>
      <c r="B33" s="5"/>
      <c r="C33" s="6"/>
      <c r="D33" s="5"/>
      <c r="E33" s="6"/>
    </row>
    <row r="34" spans="1:5" s="1" customFormat="1" x14ac:dyDescent="0.25">
      <c r="A34" t="s">
        <v>115</v>
      </c>
      <c r="B34" s="5">
        <f xml:space="preserve"> SUM(B9,B16,B23,B30)</f>
        <v>30891.864505600002</v>
      </c>
      <c r="C34" s="6"/>
      <c r="D34" s="10"/>
      <c r="E34" s="6"/>
    </row>
    <row r="35" spans="1:5" x14ac:dyDescent="0.25">
      <c r="A35" t="s">
        <v>116</v>
      </c>
      <c r="B35" s="5">
        <f xml:space="preserve"> SUM(B10,B17,B24,B31)</f>
        <v>7664.5871119353906</v>
      </c>
      <c r="D35" s="10"/>
    </row>
    <row r="36" spans="1:5" x14ac:dyDescent="0.25">
      <c r="A36" t="s">
        <v>117</v>
      </c>
      <c r="B36" s="5">
        <f xml:space="preserve"> SUM(B34:B35)</f>
        <v>38556.451617535393</v>
      </c>
      <c r="D36" s="10"/>
    </row>
    <row r="37" spans="1:5" s="1" customFormat="1" x14ac:dyDescent="0.25">
      <c r="A37" s="6"/>
      <c r="B37" s="4"/>
      <c r="C37" s="6"/>
      <c r="D37" s="10"/>
      <c r="E37" s="6"/>
    </row>
    <row r="38" spans="1:5" s="1" customFormat="1" x14ac:dyDescent="0.25">
      <c r="A38" s="1" t="s">
        <v>114</v>
      </c>
    </row>
    <row r="39" spans="1:5" s="1" customFormat="1" x14ac:dyDescent="0.25">
      <c r="A39" s="6" t="s">
        <v>62</v>
      </c>
      <c r="B39" s="4">
        <v>3285</v>
      </c>
      <c r="C39" s="6" t="s">
        <v>48</v>
      </c>
      <c r="D39" s="4">
        <f xml:space="preserve"> B39 * 3.28084</f>
        <v>10777.5594</v>
      </c>
      <c r="E39" s="6" t="s">
        <v>19</v>
      </c>
    </row>
    <row r="40" spans="1:5" s="1" customFormat="1" x14ac:dyDescent="0.25">
      <c r="A40" s="6" t="s">
        <v>63</v>
      </c>
      <c r="B40" s="4">
        <v>21</v>
      </c>
      <c r="C40" s="6" t="s">
        <v>125</v>
      </c>
      <c r="D40" s="4">
        <v>21</v>
      </c>
      <c r="E40" s="6" t="s">
        <v>125</v>
      </c>
    </row>
    <row r="41" spans="1:5" s="1" customFormat="1" x14ac:dyDescent="0.25">
      <c r="A41" s="6" t="s">
        <v>64</v>
      </c>
      <c r="B41" s="4">
        <f xml:space="preserve"> B$61 * B$62 * B39 * B40</f>
        <v>416579.52727490978</v>
      </c>
      <c r="C41" s="6" t="s">
        <v>59</v>
      </c>
      <c r="D41" s="10">
        <f xml:space="preserve"> B41 * 1.30795</f>
        <v>544865.19269921817</v>
      </c>
      <c r="E41" s="6" t="s">
        <v>60</v>
      </c>
    </row>
    <row r="42" spans="1:5" s="1" customFormat="1" x14ac:dyDescent="0.25">
      <c r="A42" s="6" t="s">
        <v>83</v>
      </c>
      <c r="B42" s="5">
        <f xml:space="preserve"> B$2 * B39 * B40</f>
        <v>8872086.8980800025</v>
      </c>
      <c r="C42" s="6"/>
      <c r="D42" s="5">
        <f xml:space="preserve"> D$2 * D39 * D40</f>
        <v>8872086.8980800007</v>
      </c>
      <c r="E42" s="6"/>
    </row>
    <row r="43" spans="1:5" s="1" customFormat="1" x14ac:dyDescent="0.25">
      <c r="A43" s="6" t="s">
        <v>84</v>
      </c>
      <c r="B43" s="5">
        <f xml:space="preserve"> B$3 * B41</f>
        <v>2201255.3785048416</v>
      </c>
      <c r="C43" s="6"/>
      <c r="D43" s="5">
        <f xml:space="preserve"> D$3 * D41</f>
        <v>2201255.3785048416</v>
      </c>
      <c r="E43" s="6"/>
    </row>
    <row r="44" spans="1:5" s="1" customFormat="1" x14ac:dyDescent="0.25">
      <c r="A44" s="1" t="s">
        <v>195</v>
      </c>
      <c r="B44" s="5">
        <f xml:space="preserve"> SUM(B42:B43)</f>
        <v>11073342.276584845</v>
      </c>
      <c r="C44" s="6"/>
      <c r="D44" s="5"/>
      <c r="E44" s="6"/>
    </row>
    <row r="45" spans="1:5" s="1" customFormat="1" x14ac:dyDescent="0.25">
      <c r="A45" s="6"/>
      <c r="B45" s="4"/>
      <c r="C45" s="6"/>
      <c r="D45" s="10"/>
      <c r="E45" s="6"/>
    </row>
    <row r="46" spans="1:5" s="1" customFormat="1" x14ac:dyDescent="0.25">
      <c r="A46" s="6" t="s">
        <v>100</v>
      </c>
      <c r="B46" s="4">
        <v>1123</v>
      </c>
      <c r="C46" s="6" t="s">
        <v>48</v>
      </c>
      <c r="D46" s="4">
        <f xml:space="preserve"> B46 * 3.28084</f>
        <v>3684.3833199999999</v>
      </c>
      <c r="E46" s="6" t="s">
        <v>19</v>
      </c>
    </row>
    <row r="47" spans="1:5" s="1" customFormat="1" x14ac:dyDescent="0.25">
      <c r="A47" s="6" t="s">
        <v>103</v>
      </c>
      <c r="B47" s="4">
        <v>6</v>
      </c>
      <c r="C47" s="6" t="s">
        <v>125</v>
      </c>
      <c r="D47" s="4">
        <v>21</v>
      </c>
      <c r="E47" s="6" t="s">
        <v>125</v>
      </c>
    </row>
    <row r="48" spans="1:5" s="1" customFormat="1" x14ac:dyDescent="0.25">
      <c r="A48" s="6" t="s">
        <v>104</v>
      </c>
      <c r="B48" s="4">
        <f xml:space="preserve"> B$61 * B$62 * B46 * B47</f>
        <v>40688.741824720477</v>
      </c>
      <c r="C48" s="6" t="s">
        <v>59</v>
      </c>
      <c r="D48" s="10">
        <f xml:space="preserve"> B48 * 1.30795</f>
        <v>53218.839869643147</v>
      </c>
      <c r="E48" s="6" t="s">
        <v>60</v>
      </c>
    </row>
    <row r="49" spans="1:5" s="1" customFormat="1" x14ac:dyDescent="0.25">
      <c r="A49" s="6" t="s">
        <v>101</v>
      </c>
      <c r="B49" s="5">
        <f xml:space="preserve"> B$2 * B46 * B47</f>
        <v>866566.95686400007</v>
      </c>
      <c r="C49" s="6"/>
      <c r="D49" s="5">
        <f xml:space="preserve"> D$2 * D46 * D47</f>
        <v>3032984.3490240006</v>
      </c>
      <c r="E49" s="6"/>
    </row>
    <row r="50" spans="1:5" s="1" customFormat="1" x14ac:dyDescent="0.25">
      <c r="A50" s="6" t="s">
        <v>102</v>
      </c>
      <c r="B50" s="5">
        <f xml:space="preserve"> B$3 * B48</f>
        <v>215004.11307335828</v>
      </c>
      <c r="C50" s="6"/>
      <c r="D50" s="5">
        <f xml:space="preserve"> D$3 * D48</f>
        <v>215004.11307335831</v>
      </c>
      <c r="E50" s="6"/>
    </row>
    <row r="51" spans="1:5" s="1" customFormat="1" x14ac:dyDescent="0.25">
      <c r="A51" s="1" t="s">
        <v>195</v>
      </c>
      <c r="B51" s="5">
        <f xml:space="preserve"> SUM(B49:B50)</f>
        <v>1081571.0699373584</v>
      </c>
      <c r="C51" s="6"/>
      <c r="D51" s="5"/>
      <c r="E51" s="6"/>
    </row>
    <row r="53" spans="1:5" s="1" customFormat="1" x14ac:dyDescent="0.25">
      <c r="A53" s="6" t="s">
        <v>107</v>
      </c>
      <c r="B53" s="4">
        <v>5482</v>
      </c>
      <c r="C53" s="6" t="s">
        <v>48</v>
      </c>
      <c r="D53" s="4">
        <f xml:space="preserve"> B53 * 3.28084</f>
        <v>17985.564879999998</v>
      </c>
      <c r="E53" s="6" t="s">
        <v>19</v>
      </c>
    </row>
    <row r="54" spans="1:5" s="1" customFormat="1" x14ac:dyDescent="0.25">
      <c r="A54" s="6" t="s">
        <v>108</v>
      </c>
      <c r="B54" s="4">
        <v>15</v>
      </c>
      <c r="C54" s="6" t="s">
        <v>125</v>
      </c>
      <c r="D54" s="4">
        <v>21</v>
      </c>
      <c r="E54" s="6" t="s">
        <v>125</v>
      </c>
    </row>
    <row r="55" spans="1:5" s="1" customFormat="1" x14ac:dyDescent="0.25">
      <c r="A55" s="6" t="s">
        <v>109</v>
      </c>
      <c r="B55" s="4">
        <f xml:space="preserve"> B$61 * B$62 * B53 * B54</f>
        <v>496562.07186802686</v>
      </c>
      <c r="C55" s="6" t="s">
        <v>59</v>
      </c>
      <c r="D55" s="10">
        <f xml:space="preserve"> B55 * 1.30795</f>
        <v>649478.3618997857</v>
      </c>
      <c r="E55" s="6" t="s">
        <v>60</v>
      </c>
    </row>
    <row r="56" spans="1:5" s="1" customFormat="1" x14ac:dyDescent="0.25">
      <c r="A56" s="6" t="s">
        <v>105</v>
      </c>
      <c r="B56" s="5">
        <f xml:space="preserve"> B$2 * B53 * B54</f>
        <v>10575512.149440002</v>
      </c>
      <c r="C56" s="6"/>
      <c r="D56" s="5">
        <f xml:space="preserve"> D$2 * D53 * D54</f>
        <v>14805717.009215999</v>
      </c>
      <c r="E56" s="6"/>
    </row>
    <row r="57" spans="1:5" s="1" customFormat="1" x14ac:dyDescent="0.25">
      <c r="A57" s="6" t="s">
        <v>106</v>
      </c>
      <c r="B57" s="5">
        <f xml:space="preserve"> B$3 * B55</f>
        <v>2623892.5820751339</v>
      </c>
      <c r="C57" s="6"/>
      <c r="D57" s="5">
        <f xml:space="preserve"> D$3 * D55</f>
        <v>2623892.5820751344</v>
      </c>
      <c r="E57" s="6"/>
    </row>
    <row r="58" spans="1:5" s="1" customFormat="1" x14ac:dyDescent="0.25">
      <c r="A58" s="1" t="s">
        <v>195</v>
      </c>
      <c r="B58" s="5">
        <f xml:space="preserve"> SUM(B56:B57)</f>
        <v>13199404.731515136</v>
      </c>
      <c r="C58" s="6"/>
      <c r="D58" s="5"/>
      <c r="E58" s="6"/>
    </row>
    <row r="59" spans="1:5" s="1" customFormat="1" x14ac:dyDescent="0.25">
      <c r="A59" s="6"/>
      <c r="B59" s="4"/>
      <c r="C59" s="6"/>
      <c r="D59" s="4"/>
      <c r="E59" s="6"/>
    </row>
    <row r="60" spans="1:5" s="1" customFormat="1" x14ac:dyDescent="0.25">
      <c r="A60" s="6" t="s">
        <v>71</v>
      </c>
      <c r="B60" s="4">
        <v>11458</v>
      </c>
      <c r="C60" s="6" t="s">
        <v>48</v>
      </c>
      <c r="D60" s="4">
        <f xml:space="preserve"> B60 * 3.28084</f>
        <v>37591.864719999998</v>
      </c>
      <c r="E60" s="6" t="s">
        <v>19</v>
      </c>
    </row>
    <row r="61" spans="1:5" s="1" customFormat="1" x14ac:dyDescent="0.25">
      <c r="A61" s="6" t="s">
        <v>72</v>
      </c>
      <c r="B61" s="3">
        <f xml:space="preserve"> D61 / 3.28084</f>
        <v>3.962399873203204</v>
      </c>
      <c r="C61" s="6" t="s">
        <v>48</v>
      </c>
      <c r="D61" s="6">
        <v>13</v>
      </c>
      <c r="E61" s="6" t="s">
        <v>19</v>
      </c>
    </row>
    <row r="62" spans="1:5" s="1" customFormat="1" x14ac:dyDescent="0.25">
      <c r="A62" s="6" t="s">
        <v>68</v>
      </c>
      <c r="B62" s="3">
        <f xml:space="preserve"> D62 / 3.28084</f>
        <v>1.5239999512320015</v>
      </c>
      <c r="C62" s="6" t="s">
        <v>48</v>
      </c>
      <c r="D62" s="6">
        <v>5</v>
      </c>
      <c r="E62" s="6" t="s">
        <v>19</v>
      </c>
    </row>
    <row r="63" spans="1:5" s="1" customFormat="1" x14ac:dyDescent="0.25">
      <c r="A63" s="6" t="s">
        <v>69</v>
      </c>
      <c r="B63" s="4">
        <v>2</v>
      </c>
      <c r="C63" s="6" t="s">
        <v>125</v>
      </c>
      <c r="D63" s="4">
        <v>2</v>
      </c>
      <c r="E63" s="6" t="s">
        <v>125</v>
      </c>
    </row>
    <row r="64" spans="1:5" s="1" customFormat="1" x14ac:dyDescent="0.25">
      <c r="A64" s="6" t="s">
        <v>70</v>
      </c>
      <c r="B64" s="4">
        <f xml:space="preserve"> B60 * B61 *  B62 * B63</f>
        <v>138382.78534510158</v>
      </c>
      <c r="C64" s="6" t="s">
        <v>59</v>
      </c>
      <c r="D64" s="10">
        <f xml:space="preserve"> B64 * 1.30795</f>
        <v>180997.76409212561</v>
      </c>
      <c r="E64" s="6" t="s">
        <v>60</v>
      </c>
    </row>
    <row r="65" spans="1:5" s="1" customFormat="1" x14ac:dyDescent="0.25">
      <c r="A65" s="6" t="s">
        <v>73</v>
      </c>
      <c r="B65" s="5">
        <f xml:space="preserve"> B$2 * B60 * B63</f>
        <v>2947202.1940480005</v>
      </c>
      <c r="C65" s="6"/>
      <c r="D65" s="5">
        <f xml:space="preserve"> D$2 * D60 * D63</f>
        <v>2947202.194048</v>
      </c>
      <c r="E65" s="6"/>
    </row>
    <row r="66" spans="1:5" s="1" customFormat="1" x14ac:dyDescent="0.25">
      <c r="A66" s="6" t="s">
        <v>74</v>
      </c>
      <c r="B66" s="5">
        <f xml:space="preserve"> B$3 * B64</f>
        <v>731230.96693218744</v>
      </c>
      <c r="C66" s="6"/>
      <c r="D66" s="5">
        <f xml:space="preserve"> D$3 * D64</f>
        <v>731230.96693218744</v>
      </c>
      <c r="E66" s="6"/>
    </row>
    <row r="67" spans="1:5" s="1" customFormat="1" x14ac:dyDescent="0.25">
      <c r="A67" s="1" t="s">
        <v>195</v>
      </c>
      <c r="B67" s="5">
        <f xml:space="preserve"> SUM(B65:B66)</f>
        <v>3678433.1609801878</v>
      </c>
      <c r="C67" s="6"/>
      <c r="D67" s="5"/>
      <c r="E67" s="6"/>
    </row>
    <row r="68" spans="1:5" s="1" customFormat="1" x14ac:dyDescent="0.25">
      <c r="A68" s="6"/>
      <c r="B68" s="4"/>
      <c r="C68" s="6"/>
      <c r="E68" s="6"/>
    </row>
    <row r="69" spans="1:5" s="1" customFormat="1" x14ac:dyDescent="0.25">
      <c r="A69" t="s">
        <v>119</v>
      </c>
      <c r="B69" s="5">
        <f xml:space="preserve"> SUM(B42,B49,B56,B65)</f>
        <v>23261368.198432006</v>
      </c>
      <c r="C69" s="6"/>
      <c r="E69" s="6"/>
    </row>
    <row r="70" spans="1:5" s="1" customFormat="1" x14ac:dyDescent="0.25">
      <c r="A70" t="s">
        <v>120</v>
      </c>
      <c r="B70" s="5">
        <f xml:space="preserve"> SUM(B43,B50,B57,B66)</f>
        <v>5771383.0405855216</v>
      </c>
      <c r="C70" s="6"/>
      <c r="E70" s="6"/>
    </row>
    <row r="71" spans="1:5" s="1" customFormat="1" x14ac:dyDescent="0.25">
      <c r="A71" t="s">
        <v>121</v>
      </c>
      <c r="B71" s="5">
        <f xml:space="preserve"> SUM(B69:B70)</f>
        <v>29032751.239017528</v>
      </c>
      <c r="C71" s="6"/>
      <c r="E71" s="6"/>
    </row>
    <row r="72" spans="1:5" s="1" customFormat="1" x14ac:dyDescent="0.25">
      <c r="A72"/>
      <c r="B72" s="5"/>
      <c r="C72" s="6"/>
      <c r="E72" s="6"/>
    </row>
    <row r="73" spans="1:5" s="1" customFormat="1" x14ac:dyDescent="0.25">
      <c r="A73" s="1" t="s">
        <v>118</v>
      </c>
      <c r="B73" s="4"/>
      <c r="C73" s="6"/>
      <c r="E73" s="6"/>
    </row>
    <row r="74" spans="1:5" s="1" customFormat="1" x14ac:dyDescent="0.25">
      <c r="A74" t="s">
        <v>110</v>
      </c>
      <c r="B74" s="5">
        <f xml:space="preserve"> SUM(B9,B16,B23,B30,B42,B49,B56,B65)</f>
        <v>23292260.062937602</v>
      </c>
      <c r="C74" s="6"/>
      <c r="D74" s="10"/>
      <c r="E74" s="6"/>
    </row>
    <row r="75" spans="1:5" x14ac:dyDescent="0.25">
      <c r="A75" t="s">
        <v>111</v>
      </c>
      <c r="B75" s="5">
        <f xml:space="preserve"> SUM(B10,B17,B24,B31,B43,B50,B57,B66)</f>
        <v>5779047.6276974576</v>
      </c>
      <c r="D75" s="10"/>
    </row>
    <row r="76" spans="1:5" x14ac:dyDescent="0.25">
      <c r="A76" t="s">
        <v>112</v>
      </c>
      <c r="B76" s="5">
        <f xml:space="preserve"> SUM(B74:B75)</f>
        <v>29071307.690635059</v>
      </c>
      <c r="D76" s="10"/>
    </row>
    <row r="77" spans="1:5" x14ac:dyDescent="0.25">
      <c r="D77" s="10"/>
    </row>
  </sheetData>
  <printOptions gridLines="1"/>
  <pageMargins left="0.7" right="0.7" top="0.75" bottom="0.75" header="0.3" footer="0.3"/>
  <pageSetup scale="8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workbookViewId="0">
      <selection activeCell="F15" sqref="F15"/>
    </sheetView>
  </sheetViews>
  <sheetFormatPr defaultRowHeight="15" x14ac:dyDescent="0.25"/>
  <cols>
    <col min="1" max="1" width="48" bestFit="1" customWidth="1"/>
    <col min="2" max="2" width="12.85546875" customWidth="1"/>
    <col min="3" max="3" width="15.7109375" customWidth="1"/>
    <col min="4" max="4" width="9.85546875" customWidth="1"/>
    <col min="5" max="5" width="9" bestFit="1" customWidth="1"/>
    <col min="6" max="6" width="13" customWidth="1"/>
    <col min="7" max="8" width="12.85546875" customWidth="1"/>
    <col min="9" max="9" width="10.28515625" customWidth="1"/>
  </cols>
  <sheetData>
    <row r="1" spans="1:8" s="1" customFormat="1" x14ac:dyDescent="0.25">
      <c r="A1" s="1" t="s">
        <v>197</v>
      </c>
      <c r="B1" s="1" t="s">
        <v>0</v>
      </c>
      <c r="C1" s="1" t="s">
        <v>1</v>
      </c>
      <c r="D1" s="1" t="s">
        <v>0</v>
      </c>
      <c r="E1" s="1" t="s">
        <v>1</v>
      </c>
      <c r="F1" s="1" t="s">
        <v>201</v>
      </c>
      <c r="G1" s="1" t="s">
        <v>202</v>
      </c>
      <c r="H1" s="1" t="s">
        <v>204</v>
      </c>
    </row>
    <row r="2" spans="1:8" s="1" customFormat="1" x14ac:dyDescent="0.25">
      <c r="A2" s="6" t="s">
        <v>47</v>
      </c>
      <c r="B2" s="4">
        <v>11458</v>
      </c>
      <c r="C2" s="6" t="s">
        <v>48</v>
      </c>
    </row>
    <row r="3" spans="1:8" s="1" customFormat="1" x14ac:dyDescent="0.25">
      <c r="A3" s="6" t="s">
        <v>49</v>
      </c>
      <c r="B3" s="4">
        <v>5</v>
      </c>
      <c r="C3" s="6" t="s">
        <v>48</v>
      </c>
    </row>
    <row r="4" spans="1:8" s="1" customFormat="1" x14ac:dyDescent="0.25">
      <c r="A4" s="6" t="s">
        <v>46</v>
      </c>
      <c r="B4" s="4">
        <f xml:space="preserve"> B2 * B3</f>
        <v>57290</v>
      </c>
      <c r="C4" s="6" t="s">
        <v>38</v>
      </c>
      <c r="D4" s="10">
        <f xml:space="preserve"> B4 * 0.000247105</f>
        <v>14.156645450000001</v>
      </c>
      <c r="E4" s="6" t="s">
        <v>2</v>
      </c>
      <c r="F4" s="16">
        <f xml:space="preserve"> $B$29 * ($D4 / $D$13)</f>
        <v>10075.921084936046</v>
      </c>
      <c r="G4" s="16">
        <f xml:space="preserve"> $B$31 * ($D4 / $D$13)</f>
        <v>0</v>
      </c>
      <c r="H4" s="16">
        <f xml:space="preserve"> $G$57 * ($D4 / $D$13)</f>
        <v>292.49442208560703</v>
      </c>
    </row>
    <row r="5" spans="1:8" s="1" customFormat="1" x14ac:dyDescent="0.25">
      <c r="A5" s="6" t="s">
        <v>39</v>
      </c>
      <c r="B5" s="4">
        <v>113312.2</v>
      </c>
      <c r="C5" s="6" t="s">
        <v>38</v>
      </c>
      <c r="D5" s="10">
        <f t="shared" ref="D5:D11" si="0" xml:space="preserve"> B5 * 0.000247105</f>
        <v>28.000011181000001</v>
      </c>
      <c r="E5" s="6" t="s">
        <v>2</v>
      </c>
      <c r="F5" s="16">
        <f xml:space="preserve"> $B$29 * ($D5 / $D$13)</f>
        <v>19928.866908020427</v>
      </c>
      <c r="G5" s="16">
        <f xml:space="preserve"> $B$31 * ($D5 / $D$13)</f>
        <v>0</v>
      </c>
      <c r="H5" s="16">
        <f xml:space="preserve"> $G$57 * ($D5 / $D$13)</f>
        <v>578.51608403296768</v>
      </c>
    </row>
    <row r="6" spans="1:8" s="1" customFormat="1" x14ac:dyDescent="0.25">
      <c r="A6" s="6" t="s">
        <v>40</v>
      </c>
      <c r="B6" s="4">
        <v>1080450</v>
      </c>
      <c r="C6" s="6" t="s">
        <v>38</v>
      </c>
      <c r="D6" s="10">
        <f t="shared" si="0"/>
        <v>266.98459725000004</v>
      </c>
      <c r="E6" s="6" t="s">
        <v>2</v>
      </c>
      <c r="F6" s="16">
        <f xml:space="preserve"> $B$29 * ($D6 / $D$13)</f>
        <v>190024.94215777889</v>
      </c>
      <c r="G6" s="16">
        <f xml:space="preserve"> $B$31 * ($D6 / $D$13)</f>
        <v>0</v>
      </c>
      <c r="H6" s="16">
        <f xml:space="preserve"> $G$57 * ($D6 / $D$13)</f>
        <v>5516.2436436096032</v>
      </c>
    </row>
    <row r="7" spans="1:8" s="1" customFormat="1" x14ac:dyDescent="0.25">
      <c r="A7" s="6" t="s">
        <v>41</v>
      </c>
      <c r="B7" s="4">
        <v>14320</v>
      </c>
      <c r="C7" s="6" t="s">
        <v>38</v>
      </c>
      <c r="D7" s="10">
        <f t="shared" si="0"/>
        <v>3.5385436000000001</v>
      </c>
      <c r="E7" s="6" t="s">
        <v>2</v>
      </c>
      <c r="F7" s="16">
        <f xml:space="preserve"> $B$29 * ($D7 / $D$13)</f>
        <v>2518.5405818866152</v>
      </c>
      <c r="G7" s="16">
        <f xml:space="preserve"> $B$31 * ($D7 / $D$13)</f>
        <v>0</v>
      </c>
      <c r="H7" s="16">
        <f xml:space="preserve"> $G$57 * ($D7 / $D$13)</f>
        <v>73.110841757128512</v>
      </c>
    </row>
    <row r="8" spans="1:8" s="1" customFormat="1" x14ac:dyDescent="0.25">
      <c r="A8" s="6" t="s">
        <v>42</v>
      </c>
      <c r="B8" s="4">
        <v>193581</v>
      </c>
      <c r="C8" s="6" t="s">
        <v>38</v>
      </c>
      <c r="D8" s="10">
        <f t="shared" si="0"/>
        <v>47.834833005</v>
      </c>
      <c r="E8" s="6" t="s">
        <v>2</v>
      </c>
      <c r="F8" s="16">
        <f xml:space="preserve"> $B$29 * ($D8 / $D$13)</f>
        <v>34046.201423337487</v>
      </c>
      <c r="G8" s="16">
        <f xml:space="preserve"> $B$31 * ($D8 / $D$13)</f>
        <v>0</v>
      </c>
      <c r="H8" s="16">
        <f xml:space="preserve"> $G$57 * ($D8 / $D$13)</f>
        <v>988.32890071136137</v>
      </c>
    </row>
    <row r="9" spans="1:8" s="1" customFormat="1" x14ac:dyDescent="0.25">
      <c r="A9" s="6" t="s">
        <v>207</v>
      </c>
      <c r="B9" s="4">
        <v>71806</v>
      </c>
      <c r="C9" s="6" t="s">
        <v>38</v>
      </c>
      <c r="D9" s="10">
        <f t="shared" si="0"/>
        <v>17.74362163</v>
      </c>
      <c r="E9" s="6" t="s">
        <v>2</v>
      </c>
      <c r="F9" s="16">
        <f xml:space="preserve"> $B$29 * ($D9 / $D$13)</f>
        <v>12628.933311658539</v>
      </c>
      <c r="G9" s="16">
        <f xml:space="preserve"> $B$31 * ($D9 / $D$13)</f>
        <v>0</v>
      </c>
      <c r="H9" s="16">
        <f xml:space="preserve"> $G$57 * ($D9 / $D$13)</f>
        <v>366.60594296175765</v>
      </c>
    </row>
    <row r="10" spans="1:8" s="1" customFormat="1" x14ac:dyDescent="0.25">
      <c r="A10" s="6" t="s">
        <v>43</v>
      </c>
      <c r="B10" s="4">
        <v>72729</v>
      </c>
      <c r="C10" s="6" t="s">
        <v>38</v>
      </c>
      <c r="D10" s="10">
        <f t="shared" si="0"/>
        <v>17.971699545</v>
      </c>
      <c r="E10" s="6" t="s">
        <v>2</v>
      </c>
      <c r="F10" s="16">
        <f xml:space="preserve"> $B$29 * ($D10 / $D$13)</f>
        <v>12791.266618717291</v>
      </c>
      <c r="G10" s="16">
        <f xml:space="preserve"> $B$31 * ($D10 / $D$13)</f>
        <v>0</v>
      </c>
      <c r="H10" s="16">
        <f xml:space="preserve"> $G$57 * ($D10 / $D$13)</f>
        <v>371.31832473143851</v>
      </c>
    </row>
    <row r="11" spans="1:8" s="1" customFormat="1" x14ac:dyDescent="0.25">
      <c r="A11" s="6" t="s">
        <v>44</v>
      </c>
      <c r="B11" s="4">
        <v>3357485</v>
      </c>
      <c r="C11" s="6" t="s">
        <v>38</v>
      </c>
      <c r="D11" s="10">
        <f t="shared" si="0"/>
        <v>829.65133092500002</v>
      </c>
      <c r="E11" s="6" t="s">
        <v>2</v>
      </c>
      <c r="F11" s="16">
        <f xml:space="preserve"> $B$29 * ($D11 / $D$13)</f>
        <v>590500.15541728924</v>
      </c>
      <c r="G11" s="16">
        <f xml:space="preserve"> $B$31 * ($D11 / $D$13)</f>
        <v>0</v>
      </c>
      <c r="H11" s="16">
        <f xml:space="preserve"> $G$57 * ($D11 / $D$13)</f>
        <v>17141.658836377977</v>
      </c>
    </row>
    <row r="12" spans="1:8" s="1" customFormat="1" x14ac:dyDescent="0.25">
      <c r="A12" s="6"/>
      <c r="B12" s="4"/>
      <c r="C12" s="6"/>
      <c r="E12" s="6"/>
      <c r="G12" s="6"/>
      <c r="H12" s="6"/>
    </row>
    <row r="13" spans="1:8" s="1" customFormat="1" x14ac:dyDescent="0.25">
      <c r="A13" t="s">
        <v>37</v>
      </c>
      <c r="B13" s="9">
        <f xml:space="preserve"> SUM(B4:B11)</f>
        <v>4960973.2</v>
      </c>
      <c r="C13" s="6" t="s">
        <v>38</v>
      </c>
      <c r="D13" s="10">
        <f xml:space="preserve"> B13 * 0.000247105</f>
        <v>1225.8812825860002</v>
      </c>
      <c r="E13" s="6" t="s">
        <v>2</v>
      </c>
      <c r="F13" s="10"/>
      <c r="G13" s="6"/>
      <c r="H13" s="6"/>
    </row>
    <row r="14" spans="1:8" s="1" customFormat="1" x14ac:dyDescent="0.25">
      <c r="A14" t="s">
        <v>58</v>
      </c>
      <c r="B14" s="6">
        <v>0</v>
      </c>
      <c r="C14" s="6" t="s">
        <v>38</v>
      </c>
      <c r="D14" s="10">
        <f xml:space="preserve"> B14 * 0.000247105</f>
        <v>0</v>
      </c>
      <c r="E14" s="6" t="s">
        <v>2</v>
      </c>
      <c r="F14" s="10"/>
      <c r="G14" s="6"/>
      <c r="H14" s="6"/>
    </row>
    <row r="15" spans="1:8" x14ac:dyDescent="0.25">
      <c r="A15" t="s">
        <v>37</v>
      </c>
      <c r="B15" s="7">
        <f xml:space="preserve"> B13 * 0.000247105</f>
        <v>1225.8812825860002</v>
      </c>
      <c r="C15" t="s">
        <v>2</v>
      </c>
      <c r="D15" s="10"/>
      <c r="F15" s="10"/>
    </row>
    <row r="16" spans="1:8" x14ac:dyDescent="0.25">
      <c r="A16" t="s">
        <v>58</v>
      </c>
      <c r="B16" s="8">
        <f xml:space="preserve"> B14 * 0.000247105</f>
        <v>0</v>
      </c>
      <c r="C16" t="s">
        <v>2</v>
      </c>
      <c r="D16" s="10"/>
      <c r="F16" s="10"/>
    </row>
    <row r="17" spans="1:6" x14ac:dyDescent="0.25">
      <c r="D17" s="10"/>
      <c r="F17" s="10"/>
    </row>
    <row r="18" spans="1:6" x14ac:dyDescent="0.25">
      <c r="A18" t="s">
        <v>260</v>
      </c>
      <c r="B18" s="2">
        <f xml:space="preserve"> (B15 + B16) * 68/12</f>
        <v>6946.6606013206683</v>
      </c>
      <c r="C18" t="s">
        <v>6</v>
      </c>
      <c r="D18" s="10"/>
      <c r="F18" s="10"/>
    </row>
    <row r="19" spans="1:6" x14ac:dyDescent="0.25">
      <c r="A19" t="s">
        <v>259</v>
      </c>
      <c r="B19" s="2">
        <f xml:space="preserve"> (B15 + B16) * 10.93/12</f>
        <v>1116.5735348887486</v>
      </c>
      <c r="C19" t="s">
        <v>8</v>
      </c>
      <c r="D19" s="10"/>
      <c r="F19" s="10"/>
    </row>
    <row r="20" spans="1:6" x14ac:dyDescent="0.25">
      <c r="A20" t="s">
        <v>9</v>
      </c>
      <c r="B20" s="2">
        <f xml:space="preserve"> (B15 + B16) * 0.045/12 * 365</f>
        <v>1677.9250055395878</v>
      </c>
      <c r="C20" t="s">
        <v>6</v>
      </c>
    </row>
    <row r="21" spans="1:6" x14ac:dyDescent="0.25">
      <c r="A21" t="s">
        <v>10</v>
      </c>
      <c r="B21" s="3">
        <f xml:space="preserve"> (B15 + B16) * 0.061/12</f>
        <v>6.2315631864788346</v>
      </c>
      <c r="C21" t="s">
        <v>11</v>
      </c>
    </row>
    <row r="22" spans="1:6" x14ac:dyDescent="0.25">
      <c r="A22" t="s">
        <v>137</v>
      </c>
      <c r="B22" s="2">
        <f xml:space="preserve"> (B16) * 10.93</f>
        <v>0</v>
      </c>
      <c r="C22" t="s">
        <v>6</v>
      </c>
    </row>
    <row r="23" spans="1:6" x14ac:dyDescent="0.25">
      <c r="A23" t="s">
        <v>214</v>
      </c>
      <c r="B23" s="11">
        <v>0.6</v>
      </c>
    </row>
    <row r="24" spans="1:6" x14ac:dyDescent="0.25">
      <c r="A24" t="s">
        <v>261</v>
      </c>
      <c r="B24" s="4">
        <f xml:space="preserve"> (1 -B23) * SUM(B18,B20,B22)</f>
        <v>3449.8342427441021</v>
      </c>
      <c r="C24" t="s">
        <v>6</v>
      </c>
    </row>
    <row r="25" spans="1:6" x14ac:dyDescent="0.25">
      <c r="A25" t="s">
        <v>51</v>
      </c>
      <c r="B25" s="4">
        <f xml:space="preserve"> B23 * SUM(B18,B20,B22)</f>
        <v>5174.7513641161531</v>
      </c>
      <c r="C25" t="s">
        <v>6</v>
      </c>
      <c r="D25" s="5"/>
      <c r="F25" s="5"/>
    </row>
    <row r="26" spans="1:6" x14ac:dyDescent="0.25">
      <c r="A26" t="s">
        <v>51</v>
      </c>
      <c r="B26" s="4">
        <f xml:space="preserve"> B25 * 325853.383688</f>
        <v>1686210241.7413421</v>
      </c>
      <c r="C26" t="s">
        <v>35</v>
      </c>
      <c r="D26" s="5"/>
      <c r="F26" s="5"/>
    </row>
    <row r="27" spans="1:6" x14ac:dyDescent="0.25">
      <c r="A27" t="s">
        <v>51</v>
      </c>
      <c r="B27" s="2">
        <f xml:space="preserve"> B25 * 325853.383688 / 1000000 / 365</f>
        <v>4.6197540869625815</v>
      </c>
      <c r="C27" t="s">
        <v>45</v>
      </c>
      <c r="D27" s="5"/>
      <c r="F27" s="5"/>
    </row>
    <row r="28" spans="1:6" x14ac:dyDescent="0.25">
      <c r="A28" t="s">
        <v>122</v>
      </c>
      <c r="B28" s="5">
        <v>168.61</v>
      </c>
      <c r="C28" t="s">
        <v>55</v>
      </c>
      <c r="D28" s="5"/>
      <c r="F28" s="5"/>
    </row>
    <row r="29" spans="1:6" x14ac:dyDescent="0.25">
      <c r="A29" t="s">
        <v>56</v>
      </c>
      <c r="B29" s="5">
        <f xml:space="preserve"> B28 * B26 / 325853.383688</f>
        <v>872514.82750362461</v>
      </c>
      <c r="C29" t="s">
        <v>57</v>
      </c>
      <c r="D29" s="5"/>
      <c r="F29" s="5"/>
    </row>
    <row r="30" spans="1:6" x14ac:dyDescent="0.25">
      <c r="A30" t="s">
        <v>123</v>
      </c>
      <c r="B30" s="5">
        <v>0</v>
      </c>
      <c r="C30" t="s">
        <v>55</v>
      </c>
      <c r="D30" s="5"/>
      <c r="F30" s="5"/>
    </row>
    <row r="31" spans="1:6" x14ac:dyDescent="0.25">
      <c r="A31" t="s">
        <v>124</v>
      </c>
      <c r="B31" s="5">
        <f xml:space="preserve"> B30 * B26 / 325853.383688</f>
        <v>0</v>
      </c>
      <c r="C31" t="s">
        <v>57</v>
      </c>
      <c r="D31" s="5"/>
      <c r="F31" s="5"/>
    </row>
    <row r="32" spans="1:6" x14ac:dyDescent="0.25">
      <c r="A32" t="s">
        <v>52</v>
      </c>
      <c r="B32" s="4">
        <f xml:space="preserve"> 0.08 * B26</f>
        <v>134896819.33930737</v>
      </c>
      <c r="C32" t="s">
        <v>35</v>
      </c>
      <c r="D32" s="5"/>
      <c r="F32" s="5"/>
    </row>
    <row r="33" spans="1:8" x14ac:dyDescent="0.25">
      <c r="A33" t="s">
        <v>52</v>
      </c>
      <c r="B33" s="2">
        <f xml:space="preserve"> B32 / 1000000 / 365</f>
        <v>0.36958032695700649</v>
      </c>
      <c r="C33" t="s">
        <v>45</v>
      </c>
      <c r="D33" s="5"/>
      <c r="F33" s="5"/>
    </row>
    <row r="34" spans="1:8" x14ac:dyDescent="0.25">
      <c r="A34" t="s">
        <v>54</v>
      </c>
      <c r="B34" s="4">
        <f xml:space="preserve"> B32 / 325853.383688 / 0.5</f>
        <v>827.96021825858452</v>
      </c>
      <c r="C34" t="s">
        <v>53</v>
      </c>
      <c r="D34" s="5"/>
      <c r="F34" s="5"/>
    </row>
    <row r="35" spans="1:8" x14ac:dyDescent="0.25">
      <c r="A35" t="s">
        <v>50</v>
      </c>
      <c r="B35" s="2">
        <f xml:space="preserve"> (1 - B23) * SUM(B18,B20,B22)</f>
        <v>3449.8342427441021</v>
      </c>
      <c r="C35" t="s">
        <v>6</v>
      </c>
    </row>
    <row r="37" spans="1:8" x14ac:dyDescent="0.25">
      <c r="A37" t="s">
        <v>14</v>
      </c>
      <c r="B37" s="2">
        <f xml:space="preserve"> (1 - B23) * (B19/31 + B21 + B22/365)</f>
        <v>16.900025724768934</v>
      </c>
      <c r="C37" t="s">
        <v>11</v>
      </c>
    </row>
    <row r="38" spans="1:8" x14ac:dyDescent="0.25">
      <c r="A38" t="s">
        <v>14</v>
      </c>
      <c r="B38" s="2">
        <f>B37 * 325853.383688</f>
        <v>5506930.5668302011</v>
      </c>
      <c r="C38" t="s">
        <v>13</v>
      </c>
    </row>
    <row r="39" spans="1:8" x14ac:dyDescent="0.25">
      <c r="A39" t="s">
        <v>16</v>
      </c>
      <c r="B39">
        <v>5.5</v>
      </c>
      <c r="C39" t="s">
        <v>15</v>
      </c>
    </row>
    <row r="40" spans="1:8" x14ac:dyDescent="0.25">
      <c r="A40" t="s">
        <v>33</v>
      </c>
      <c r="B40" s="4">
        <f xml:space="preserve"> B38 / B39 /60</f>
        <v>16687.668384333942</v>
      </c>
      <c r="C40" t="s">
        <v>17</v>
      </c>
    </row>
    <row r="41" spans="1:8" x14ac:dyDescent="0.25">
      <c r="A41" t="s">
        <v>34</v>
      </c>
      <c r="B41" s="4">
        <f xml:space="preserve"> B38 / 24 /60</f>
        <v>3824.2573380765289</v>
      </c>
      <c r="C41" t="s">
        <v>17</v>
      </c>
    </row>
    <row r="43" spans="1:8" x14ac:dyDescent="0.25">
      <c r="A43" t="s">
        <v>138</v>
      </c>
      <c r="B43" s="4" t="s">
        <v>131</v>
      </c>
      <c r="C43" t="s">
        <v>132</v>
      </c>
      <c r="D43" t="s">
        <v>133</v>
      </c>
      <c r="E43" t="s">
        <v>134</v>
      </c>
      <c r="F43" t="s">
        <v>135</v>
      </c>
      <c r="G43" t="s">
        <v>203</v>
      </c>
    </row>
    <row r="44" spans="1:8" x14ac:dyDescent="0.25">
      <c r="A44" t="s">
        <v>18</v>
      </c>
      <c r="B44">
        <f xml:space="preserve"> 235 - 226</f>
        <v>9</v>
      </c>
      <c r="C44">
        <v>1.03</v>
      </c>
      <c r="D44" s="11">
        <v>0.84</v>
      </c>
      <c r="E44" s="2">
        <f>($B$41*B44*C44)/(3960*D44)</f>
        <v>10.657427105570415</v>
      </c>
      <c r="F44" s="2">
        <f xml:space="preserve"> E44*745.699872/1000</f>
        <v>7.9472420284731893</v>
      </c>
      <c r="G44" s="5">
        <f xml:space="preserve"> F44 * 24 * 365 * 0.14</f>
        <v>9746.4976237195206</v>
      </c>
      <c r="H44" s="5"/>
    </row>
    <row r="45" spans="1:8" x14ac:dyDescent="0.25">
      <c r="A45" t="s">
        <v>20</v>
      </c>
      <c r="B45">
        <f xml:space="preserve"> B44 + 1</f>
        <v>10</v>
      </c>
      <c r="C45">
        <f xml:space="preserve"> C44 + 0.005</f>
        <v>1.0349999999999999</v>
      </c>
      <c r="D45" s="11">
        <v>0.84</v>
      </c>
      <c r="E45" s="2">
        <f t="shared" ref="E45:E57" si="1">($B$41*B45*C45)/(3960*D45)</f>
        <v>11.899069098452403</v>
      </c>
      <c r="F45" s="2">
        <f t="shared" ref="F45:F57" si="2" xml:space="preserve"> E45*745.699872/1000</f>
        <v>8.873134303635112</v>
      </c>
      <c r="G45" s="5">
        <f t="shared" ref="G45:G57" si="3" xml:space="preserve"> F45 * 24 * 365 * 0.14</f>
        <v>10882.011909978102</v>
      </c>
      <c r="H45" s="5"/>
    </row>
    <row r="46" spans="1:8" x14ac:dyDescent="0.25">
      <c r="A46" t="s">
        <v>21</v>
      </c>
      <c r="B46">
        <f t="shared" ref="B46:B57" si="4" xml:space="preserve"> B45 + 1</f>
        <v>11</v>
      </c>
      <c r="C46">
        <f t="shared" ref="C46:C57" si="5" xml:space="preserve"> C45 + 0.005</f>
        <v>1.0399999999999998</v>
      </c>
      <c r="D46" s="11">
        <v>0.84</v>
      </c>
      <c r="E46" s="2">
        <f t="shared" si="1"/>
        <v>13.152207776453668</v>
      </c>
      <c r="F46" s="2">
        <f t="shared" si="2"/>
        <v>9.8075996554189064</v>
      </c>
      <c r="G46" s="5">
        <f t="shared" si="3"/>
        <v>12028.040217405749</v>
      </c>
      <c r="H46" s="5"/>
    </row>
    <row r="47" spans="1:8" x14ac:dyDescent="0.25">
      <c r="A47" t="s">
        <v>22</v>
      </c>
      <c r="B47">
        <f t="shared" si="4"/>
        <v>12</v>
      </c>
      <c r="C47">
        <f t="shared" si="5"/>
        <v>1.0449999999999997</v>
      </c>
      <c r="D47" s="11">
        <v>0.84</v>
      </c>
      <c r="E47" s="2">
        <f t="shared" si="1"/>
        <v>14.416843139574214</v>
      </c>
      <c r="F47" s="2">
        <f t="shared" si="2"/>
        <v>10.750638083824569</v>
      </c>
      <c r="G47" s="5">
        <f t="shared" si="3"/>
        <v>13184.582546002453</v>
      </c>
      <c r="H47" s="5"/>
    </row>
    <row r="48" spans="1:8" x14ac:dyDescent="0.25">
      <c r="A48" t="s">
        <v>23</v>
      </c>
      <c r="B48">
        <f t="shared" si="4"/>
        <v>13</v>
      </c>
      <c r="C48">
        <f t="shared" si="5"/>
        <v>1.0499999999999996</v>
      </c>
      <c r="D48" s="11">
        <v>0.84</v>
      </c>
      <c r="E48" s="2">
        <f t="shared" si="1"/>
        <v>15.692975187814033</v>
      </c>
      <c r="F48" s="2">
        <f t="shared" si="2"/>
        <v>11.702249588852101</v>
      </c>
      <c r="G48" s="5">
        <f t="shared" si="3"/>
        <v>14351.638895768221</v>
      </c>
      <c r="H48" s="5"/>
    </row>
    <row r="49" spans="1:8" x14ac:dyDescent="0.25">
      <c r="A49" t="s">
        <v>24</v>
      </c>
      <c r="B49">
        <f t="shared" si="4"/>
        <v>14</v>
      </c>
      <c r="C49">
        <f t="shared" si="5"/>
        <v>1.0549999999999995</v>
      </c>
      <c r="D49" s="11">
        <v>0.84</v>
      </c>
      <c r="E49" s="2">
        <f t="shared" si="1"/>
        <v>16.980603921173131</v>
      </c>
      <c r="F49" s="2">
        <f t="shared" si="2"/>
        <v>12.662434170501504</v>
      </c>
      <c r="G49" s="5">
        <f t="shared" si="3"/>
        <v>15529.209266703045</v>
      </c>
      <c r="H49" s="5"/>
    </row>
    <row r="50" spans="1:8" x14ac:dyDescent="0.25">
      <c r="A50" t="s">
        <v>25</v>
      </c>
      <c r="B50">
        <f t="shared" si="4"/>
        <v>15</v>
      </c>
      <c r="C50">
        <f t="shared" si="5"/>
        <v>1.0599999999999994</v>
      </c>
      <c r="D50" s="11">
        <v>0.84</v>
      </c>
      <c r="E50" s="2">
        <f t="shared" si="1"/>
        <v>18.279729339651507</v>
      </c>
      <c r="F50" s="2">
        <f t="shared" si="2"/>
        <v>13.631191828772772</v>
      </c>
      <c r="G50" s="5">
        <f t="shared" si="3"/>
        <v>16717.293658806931</v>
      </c>
      <c r="H50" s="5"/>
    </row>
    <row r="51" spans="1:8" x14ac:dyDescent="0.25">
      <c r="A51" t="s">
        <v>26</v>
      </c>
      <c r="B51">
        <f t="shared" si="4"/>
        <v>16</v>
      </c>
      <c r="C51">
        <f t="shared" si="5"/>
        <v>1.0649999999999993</v>
      </c>
      <c r="D51" s="11">
        <v>0.84</v>
      </c>
      <c r="E51" s="2">
        <f t="shared" si="1"/>
        <v>19.590351443249162</v>
      </c>
      <c r="F51" s="2">
        <f t="shared" si="2"/>
        <v>14.608522563665916</v>
      </c>
      <c r="G51" s="5">
        <f t="shared" si="3"/>
        <v>17915.892072079881</v>
      </c>
      <c r="H51" s="5"/>
    </row>
    <row r="52" spans="1:8" x14ac:dyDescent="0.25">
      <c r="A52" t="s">
        <v>27</v>
      </c>
      <c r="B52">
        <f t="shared" si="4"/>
        <v>17</v>
      </c>
      <c r="C52">
        <f t="shared" si="5"/>
        <v>1.0699999999999992</v>
      </c>
      <c r="D52" s="11">
        <v>0.84</v>
      </c>
      <c r="E52" s="2">
        <f t="shared" si="1"/>
        <v>20.91247023196609</v>
      </c>
      <c r="F52" s="2">
        <f t="shared" si="2"/>
        <v>15.594426375180925</v>
      </c>
      <c r="G52" s="5">
        <f t="shared" si="3"/>
        <v>19125.004506521891</v>
      </c>
      <c r="H52" s="5"/>
    </row>
    <row r="53" spans="1:8" x14ac:dyDescent="0.25">
      <c r="A53" t="s">
        <v>28</v>
      </c>
      <c r="B53">
        <f t="shared" si="4"/>
        <v>18</v>
      </c>
      <c r="C53">
        <f t="shared" si="5"/>
        <v>1.0749999999999991</v>
      </c>
      <c r="D53" s="11">
        <v>0.84</v>
      </c>
      <c r="E53" s="2">
        <f t="shared" si="1"/>
        <v>22.246085705802297</v>
      </c>
      <c r="F53" s="2">
        <f t="shared" si="2"/>
        <v>16.588903263317803</v>
      </c>
      <c r="G53" s="5">
        <f t="shared" si="3"/>
        <v>20344.630962132956</v>
      </c>
      <c r="H53" s="5"/>
    </row>
    <row r="54" spans="1:8" x14ac:dyDescent="0.25">
      <c r="A54" t="s">
        <v>29</v>
      </c>
      <c r="B54">
        <f t="shared" si="4"/>
        <v>19</v>
      </c>
      <c r="C54">
        <f t="shared" si="5"/>
        <v>1.079999999999999</v>
      </c>
      <c r="D54" s="11">
        <v>0.84</v>
      </c>
      <c r="E54" s="2">
        <f t="shared" si="1"/>
        <v>23.591197864757785</v>
      </c>
      <c r="F54" s="2">
        <f t="shared" si="2"/>
        <v>17.591953228076552</v>
      </c>
      <c r="G54" s="5">
        <f t="shared" si="3"/>
        <v>21574.771438913089</v>
      </c>
      <c r="H54" s="5"/>
    </row>
    <row r="55" spans="1:8" x14ac:dyDescent="0.25">
      <c r="A55" t="s">
        <v>30</v>
      </c>
      <c r="B55">
        <f t="shared" si="4"/>
        <v>20</v>
      </c>
      <c r="C55">
        <f t="shared" si="5"/>
        <v>1.0849999999999989</v>
      </c>
      <c r="D55" s="11">
        <v>0.84</v>
      </c>
      <c r="E55" s="2">
        <f t="shared" si="1"/>
        <v>24.947806708832545</v>
      </c>
      <c r="F55" s="2">
        <f t="shared" si="2"/>
        <v>18.603576269457172</v>
      </c>
      <c r="G55" s="5">
        <f t="shared" si="3"/>
        <v>22815.425936862277</v>
      </c>
      <c r="H55" s="5"/>
    </row>
    <row r="56" spans="1:8" x14ac:dyDescent="0.25">
      <c r="A56" t="s">
        <v>31</v>
      </c>
      <c r="B56">
        <f t="shared" si="4"/>
        <v>21</v>
      </c>
      <c r="C56">
        <f t="shared" si="5"/>
        <v>1.0899999999999987</v>
      </c>
      <c r="D56" s="11">
        <v>0.84</v>
      </c>
      <c r="E56" s="2">
        <f t="shared" si="1"/>
        <v>26.315912238026591</v>
      </c>
      <c r="F56" s="2">
        <f t="shared" si="2"/>
        <v>19.623772387459663</v>
      </c>
      <c r="G56" s="5">
        <f t="shared" si="3"/>
        <v>24066.594455980532</v>
      </c>
      <c r="H56" s="5"/>
    </row>
    <row r="57" spans="1:8" x14ac:dyDescent="0.25">
      <c r="A57" t="s">
        <v>32</v>
      </c>
      <c r="B57">
        <f t="shared" si="4"/>
        <v>22</v>
      </c>
      <c r="C57">
        <f t="shared" si="5"/>
        <v>1.0949999999999986</v>
      </c>
      <c r="D57" s="11">
        <v>0.84</v>
      </c>
      <c r="E57" s="2">
        <f t="shared" si="1"/>
        <v>27.695514452339907</v>
      </c>
      <c r="F57" s="2">
        <f t="shared" si="2"/>
        <v>20.652541582084019</v>
      </c>
      <c r="G57" s="5">
        <f t="shared" si="3"/>
        <v>25328.276996267843</v>
      </c>
      <c r="H57" s="5"/>
    </row>
  </sheetData>
  <printOptions gridLines="1"/>
  <pageMargins left="0.7" right="0.7" top="0.75" bottom="0.75" header="0.3" footer="0.3"/>
  <pageSetup scale="67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opLeftCell="A5" workbookViewId="0">
      <selection activeCell="A12" sqref="A12:B12"/>
    </sheetView>
  </sheetViews>
  <sheetFormatPr defaultRowHeight="15" x14ac:dyDescent="0.25"/>
  <cols>
    <col min="1" max="1" width="46.7109375" customWidth="1"/>
    <col min="2" max="2" width="12.42578125" customWidth="1"/>
    <col min="3" max="3" width="15.7109375" customWidth="1"/>
    <col min="4" max="4" width="9.85546875" bestFit="1" customWidth="1"/>
    <col min="6" max="6" width="10.42578125" customWidth="1"/>
  </cols>
  <sheetData>
    <row r="1" spans="1:4" s="1" customFormat="1" x14ac:dyDescent="0.25">
      <c r="A1" s="1" t="s">
        <v>212</v>
      </c>
      <c r="B1" s="1" t="s">
        <v>0</v>
      </c>
      <c r="C1" s="1" t="s">
        <v>1</v>
      </c>
    </row>
    <row r="2" spans="1:4" s="1" customFormat="1" x14ac:dyDescent="0.25">
      <c r="A2" t="s">
        <v>37</v>
      </c>
      <c r="B2" s="9">
        <f xml:space="preserve"> 'West Shore Lakes Water Estimate'!B13</f>
        <v>4960973.2</v>
      </c>
      <c r="C2" s="6" t="s">
        <v>38</v>
      </c>
    </row>
    <row r="3" spans="1:4" s="1" customFormat="1" x14ac:dyDescent="0.25">
      <c r="A3" t="s">
        <v>198</v>
      </c>
      <c r="B3" s="6">
        <f xml:space="preserve"> 'West Shore Lakes Water Estimate'!B14</f>
        <v>0</v>
      </c>
      <c r="C3" s="6" t="s">
        <v>38</v>
      </c>
    </row>
    <row r="4" spans="1:4" x14ac:dyDescent="0.25">
      <c r="A4" t="s">
        <v>37</v>
      </c>
      <c r="B4" s="7">
        <f xml:space="preserve"> B2 * 0.000247105</f>
        <v>1225.8812825860002</v>
      </c>
      <c r="C4" t="s">
        <v>2</v>
      </c>
    </row>
    <row r="5" spans="1:4" x14ac:dyDescent="0.25">
      <c r="A5" t="s">
        <v>198</v>
      </c>
      <c r="B5" s="8">
        <f xml:space="preserve"> B3 * 0.000247105</f>
        <v>0</v>
      </c>
      <c r="C5" t="s">
        <v>2</v>
      </c>
    </row>
    <row r="7" spans="1:4" x14ac:dyDescent="0.25">
      <c r="A7" t="s">
        <v>5</v>
      </c>
      <c r="B7" s="2">
        <f xml:space="preserve"> (B4 + B5) * 68/12</f>
        <v>6946.6606013206683</v>
      </c>
      <c r="C7" t="s">
        <v>6</v>
      </c>
    </row>
    <row r="8" spans="1:4" x14ac:dyDescent="0.25">
      <c r="A8" t="s">
        <v>7</v>
      </c>
      <c r="B8" s="2">
        <f xml:space="preserve"> (B4 + B5) * 10.93/12</f>
        <v>1116.5735348887486</v>
      </c>
      <c r="C8" t="s">
        <v>8</v>
      </c>
    </row>
    <row r="9" spans="1:4" x14ac:dyDescent="0.25">
      <c r="A9" t="s">
        <v>9</v>
      </c>
      <c r="B9" s="2">
        <f xml:space="preserve"> (B4 + B5) * 0.045/12 * 365</f>
        <v>1677.9250055395878</v>
      </c>
      <c r="C9" t="s">
        <v>6</v>
      </c>
    </row>
    <row r="10" spans="1:4" x14ac:dyDescent="0.25">
      <c r="A10" t="s">
        <v>10</v>
      </c>
      <c r="B10" s="3">
        <f xml:space="preserve"> (B4 + B5) * 0.061/12</f>
        <v>6.2315631864788346</v>
      </c>
      <c r="C10" t="s">
        <v>11</v>
      </c>
    </row>
    <row r="11" spans="1:4" x14ac:dyDescent="0.25">
      <c r="A11" t="s">
        <v>12</v>
      </c>
      <c r="B11" s="2">
        <f xml:space="preserve"> (B5) * 10.93</f>
        <v>0</v>
      </c>
      <c r="C11" t="s">
        <v>6</v>
      </c>
    </row>
    <row r="12" spans="1:4" x14ac:dyDescent="0.25">
      <c r="A12" t="s">
        <v>214</v>
      </c>
      <c r="B12" s="11">
        <v>0.5</v>
      </c>
    </row>
    <row r="13" spans="1:4" x14ac:dyDescent="0.25">
      <c r="A13" t="s">
        <v>215</v>
      </c>
      <c r="B13" s="4">
        <f xml:space="preserve"> B12 * SUM(B7,B9,B11)</f>
        <v>4312.2928034301276</v>
      </c>
      <c r="C13" t="s">
        <v>6</v>
      </c>
      <c r="D13" s="5"/>
    </row>
    <row r="14" spans="1:4" x14ac:dyDescent="0.25">
      <c r="A14" t="s">
        <v>36</v>
      </c>
      <c r="B14" s="4">
        <f xml:space="preserve"> B13 * 325853.383688</f>
        <v>1405175201.4511185</v>
      </c>
      <c r="C14" t="s">
        <v>35</v>
      </c>
      <c r="D14" s="5"/>
    </row>
    <row r="15" spans="1:4" x14ac:dyDescent="0.25">
      <c r="B15" s="4"/>
    </row>
    <row r="16" spans="1:4" x14ac:dyDescent="0.25">
      <c r="A16" t="s">
        <v>14</v>
      </c>
      <c r="B16" s="2">
        <f xml:space="preserve"> (1 - B12) * (B8/31 + B10 + B11/365)</f>
        <v>21.125032155961168</v>
      </c>
      <c r="C16" t="s">
        <v>11</v>
      </c>
    </row>
    <row r="17" spans="1:6" x14ac:dyDescent="0.25">
      <c r="A17" t="s">
        <v>14</v>
      </c>
      <c r="B17" s="2">
        <f>B16 * 325853.383688</f>
        <v>6883663.2085377518</v>
      </c>
      <c r="C17" t="s">
        <v>13</v>
      </c>
    </row>
    <row r="18" spans="1:6" x14ac:dyDescent="0.25">
      <c r="A18" t="s">
        <v>16</v>
      </c>
      <c r="B18">
        <v>5.5</v>
      </c>
      <c r="C18" t="s">
        <v>15</v>
      </c>
    </row>
    <row r="19" spans="1:6" x14ac:dyDescent="0.25">
      <c r="A19" t="s">
        <v>33</v>
      </c>
      <c r="B19" s="4">
        <f xml:space="preserve"> B17 / B18 /60</f>
        <v>20859.585480417431</v>
      </c>
      <c r="C19" t="s">
        <v>17</v>
      </c>
    </row>
    <row r="20" spans="1:6" x14ac:dyDescent="0.25">
      <c r="A20" t="s">
        <v>34</v>
      </c>
      <c r="B20" s="4">
        <f xml:space="preserve"> B17 / 24 /60</f>
        <v>4780.3216725956609</v>
      </c>
      <c r="C20" t="s">
        <v>17</v>
      </c>
    </row>
    <row r="22" spans="1:6" x14ac:dyDescent="0.25">
      <c r="A22" s="1" t="s">
        <v>136</v>
      </c>
      <c r="B22" s="4" t="s">
        <v>131</v>
      </c>
      <c r="C22" t="s">
        <v>132</v>
      </c>
      <c r="D22" t="s">
        <v>133</v>
      </c>
      <c r="E22" t="s">
        <v>134</v>
      </c>
      <c r="F22" t="s">
        <v>135</v>
      </c>
    </row>
    <row r="23" spans="1:6" x14ac:dyDescent="0.25">
      <c r="A23" t="s">
        <v>18</v>
      </c>
      <c r="B23">
        <f xml:space="preserve"> 235 - 226</f>
        <v>9</v>
      </c>
      <c r="C23">
        <v>1.03</v>
      </c>
      <c r="D23" s="11">
        <v>0.84</v>
      </c>
      <c r="E23" s="2">
        <f>($B$19*B23*C23)/(3960*D23)</f>
        <v>58.131420575838611</v>
      </c>
      <c r="F23" s="2">
        <f xml:space="preserve"> E23*745.699872/1000</f>
        <v>43.348592882581016</v>
      </c>
    </row>
    <row r="24" spans="1:6" x14ac:dyDescent="0.25">
      <c r="A24" t="s">
        <v>20</v>
      </c>
      <c r="B24">
        <f xml:space="preserve"> B23 + 1</f>
        <v>10</v>
      </c>
      <c r="C24">
        <f xml:space="preserve"> C23 + 0.005</f>
        <v>1.0349999999999999</v>
      </c>
      <c r="D24" s="11">
        <v>0.84</v>
      </c>
      <c r="E24" s="2">
        <f t="shared" ref="E24:E36" si="0">($B$19*B24*C24)/(3960*D24)</f>
        <v>64.904013264285837</v>
      </c>
      <c r="F24" s="2">
        <f t="shared" ref="F24:F36" si="1" xml:space="preserve"> E24*745.699872/1000</f>
        <v>48.398914383464252</v>
      </c>
    </row>
    <row r="25" spans="1:6" x14ac:dyDescent="0.25">
      <c r="A25" t="s">
        <v>21</v>
      </c>
      <c r="B25">
        <f t="shared" ref="B25:B36" si="2" xml:space="preserve"> B24 + 1</f>
        <v>11</v>
      </c>
      <c r="C25">
        <f t="shared" ref="C25:C36" si="3" xml:space="preserve"> C24 + 0.005</f>
        <v>1.0399999999999998</v>
      </c>
      <c r="D25" s="11">
        <v>0.84</v>
      </c>
      <c r="E25" s="2">
        <f t="shared" si="0"/>
        <v>71.739315144292732</v>
      </c>
      <c r="F25" s="2">
        <f t="shared" si="1"/>
        <v>53.495998120466759</v>
      </c>
    </row>
    <row r="26" spans="1:6" x14ac:dyDescent="0.25">
      <c r="A26" t="s">
        <v>22</v>
      </c>
      <c r="B26">
        <f t="shared" si="2"/>
        <v>12</v>
      </c>
      <c r="C26">
        <f t="shared" si="3"/>
        <v>1.0449999999999997</v>
      </c>
      <c r="D26" s="11">
        <v>0.84</v>
      </c>
      <c r="E26" s="2">
        <f t="shared" si="0"/>
        <v>78.637326215859346</v>
      </c>
      <c r="F26" s="2">
        <f t="shared" si="1"/>
        <v>58.639844093588557</v>
      </c>
    </row>
    <row r="27" spans="1:6" x14ac:dyDescent="0.25">
      <c r="A27" t="s">
        <v>23</v>
      </c>
      <c r="B27">
        <f t="shared" si="2"/>
        <v>13</v>
      </c>
      <c r="C27">
        <f t="shared" si="3"/>
        <v>1.0499999999999996</v>
      </c>
      <c r="D27" s="11">
        <v>0.84</v>
      </c>
      <c r="E27" s="2">
        <f t="shared" si="0"/>
        <v>85.598046478985623</v>
      </c>
      <c r="F27" s="2">
        <f t="shared" si="1"/>
        <v>63.830452302829634</v>
      </c>
    </row>
    <row r="28" spans="1:6" x14ac:dyDescent="0.25">
      <c r="A28" t="s">
        <v>24</v>
      </c>
      <c r="B28">
        <f t="shared" si="2"/>
        <v>14</v>
      </c>
      <c r="C28">
        <f t="shared" si="3"/>
        <v>1.0549999999999995</v>
      </c>
      <c r="D28" s="11">
        <v>0.84</v>
      </c>
      <c r="E28" s="2">
        <f t="shared" si="0"/>
        <v>92.621475933671633</v>
      </c>
      <c r="F28" s="2">
        <f t="shared" si="1"/>
        <v>69.067822748190025</v>
      </c>
    </row>
    <row r="29" spans="1:6" x14ac:dyDescent="0.25">
      <c r="A29" t="s">
        <v>25</v>
      </c>
      <c r="B29">
        <f t="shared" si="2"/>
        <v>15</v>
      </c>
      <c r="C29">
        <f t="shared" si="3"/>
        <v>1.0599999999999994</v>
      </c>
      <c r="D29" s="11">
        <v>0.84</v>
      </c>
      <c r="E29" s="2">
        <f t="shared" si="0"/>
        <v>99.707614579917305</v>
      </c>
      <c r="F29" s="2">
        <f t="shared" si="1"/>
        <v>74.351955429669673</v>
      </c>
    </row>
    <row r="30" spans="1:6" x14ac:dyDescent="0.25">
      <c r="A30" t="s">
        <v>26</v>
      </c>
      <c r="B30">
        <f t="shared" si="2"/>
        <v>16</v>
      </c>
      <c r="C30">
        <f t="shared" si="3"/>
        <v>1.0649999999999993</v>
      </c>
      <c r="D30" s="11">
        <v>0.84</v>
      </c>
      <c r="E30" s="2">
        <f t="shared" si="0"/>
        <v>106.8564624177227</v>
      </c>
      <c r="F30" s="2">
        <f t="shared" si="1"/>
        <v>79.682850347268626</v>
      </c>
    </row>
    <row r="31" spans="1:6" x14ac:dyDescent="0.25">
      <c r="A31" t="s">
        <v>27</v>
      </c>
      <c r="B31">
        <f t="shared" si="2"/>
        <v>17</v>
      </c>
      <c r="C31">
        <f t="shared" si="3"/>
        <v>1.0699999999999992</v>
      </c>
      <c r="D31" s="11">
        <v>0.84</v>
      </c>
      <c r="E31" s="2">
        <f t="shared" si="0"/>
        <v>114.06801944708776</v>
      </c>
      <c r="F31" s="2">
        <f t="shared" si="1"/>
        <v>85.060507500986859</v>
      </c>
    </row>
    <row r="32" spans="1:6" x14ac:dyDescent="0.25">
      <c r="A32" t="s">
        <v>28</v>
      </c>
      <c r="B32">
        <f t="shared" si="2"/>
        <v>18</v>
      </c>
      <c r="C32">
        <f t="shared" si="3"/>
        <v>1.0749999999999991</v>
      </c>
      <c r="D32" s="11">
        <v>0.84</v>
      </c>
      <c r="E32" s="2">
        <f t="shared" si="0"/>
        <v>121.34228566801252</v>
      </c>
      <c r="F32" s="2">
        <f t="shared" si="1"/>
        <v>90.484926890824369</v>
      </c>
    </row>
    <row r="33" spans="1:6" x14ac:dyDescent="0.25">
      <c r="A33" t="s">
        <v>29</v>
      </c>
      <c r="B33">
        <f t="shared" si="2"/>
        <v>19</v>
      </c>
      <c r="C33">
        <f t="shared" si="3"/>
        <v>1.079999999999999</v>
      </c>
      <c r="D33" s="11">
        <v>0.84</v>
      </c>
      <c r="E33" s="2">
        <f t="shared" si="0"/>
        <v>128.67926108049701</v>
      </c>
      <c r="F33" s="2">
        <f t="shared" si="1"/>
        <v>95.956108516781214</v>
      </c>
    </row>
    <row r="34" spans="1:6" x14ac:dyDescent="0.25">
      <c r="A34" t="s">
        <v>30</v>
      </c>
      <c r="B34">
        <f t="shared" si="2"/>
        <v>20</v>
      </c>
      <c r="C34">
        <f t="shared" si="3"/>
        <v>1.0849999999999989</v>
      </c>
      <c r="D34" s="11">
        <v>0.84</v>
      </c>
      <c r="E34" s="2">
        <f t="shared" si="0"/>
        <v>136.07894568454117</v>
      </c>
      <c r="F34" s="2">
        <f t="shared" si="1"/>
        <v>101.47405237885731</v>
      </c>
    </row>
    <row r="35" spans="1:6" x14ac:dyDescent="0.25">
      <c r="A35" t="s">
        <v>31</v>
      </c>
      <c r="B35">
        <f t="shared" si="2"/>
        <v>21</v>
      </c>
      <c r="C35">
        <f t="shared" si="3"/>
        <v>1.0899999999999987</v>
      </c>
      <c r="D35" s="11">
        <v>0.84</v>
      </c>
      <c r="E35" s="2">
        <f t="shared" si="0"/>
        <v>143.54133948014501</v>
      </c>
      <c r="F35" s="2">
        <f t="shared" si="1"/>
        <v>107.03875847705268</v>
      </c>
    </row>
    <row r="36" spans="1:6" x14ac:dyDescent="0.25">
      <c r="A36" t="s">
        <v>32</v>
      </c>
      <c r="B36">
        <f t="shared" si="2"/>
        <v>22</v>
      </c>
      <c r="C36">
        <f t="shared" si="3"/>
        <v>1.0949999999999986</v>
      </c>
      <c r="D36" s="11">
        <v>0.84</v>
      </c>
      <c r="E36" s="2">
        <f t="shared" si="0"/>
        <v>151.06644246730858</v>
      </c>
      <c r="F36" s="2">
        <f t="shared" si="1"/>
        <v>112.65022681136738</v>
      </c>
    </row>
  </sheetData>
  <printOptions gridLines="1"/>
  <pageMargins left="0.7" right="0.7" top="0.75" bottom="0.75" header="0.3" footer="0.3"/>
  <pageSetup scale="8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workbookViewId="0">
      <selection activeCell="B15" sqref="B15"/>
    </sheetView>
  </sheetViews>
  <sheetFormatPr defaultRowHeight="15" x14ac:dyDescent="0.25"/>
  <cols>
    <col min="1" max="1" width="42" customWidth="1"/>
    <col min="2" max="2" width="12.42578125" customWidth="1"/>
    <col min="3" max="3" width="14.28515625" customWidth="1"/>
    <col min="4" max="4" width="9.85546875" bestFit="1" customWidth="1"/>
    <col min="6" max="6" width="10" customWidth="1"/>
  </cols>
  <sheetData>
    <row r="1" spans="1:4" s="1" customFormat="1" x14ac:dyDescent="0.25">
      <c r="A1" s="1" t="s">
        <v>213</v>
      </c>
      <c r="B1" s="1" t="s">
        <v>0</v>
      </c>
      <c r="C1" s="1" t="s">
        <v>1</v>
      </c>
    </row>
    <row r="2" spans="1:4" s="1" customFormat="1" x14ac:dyDescent="0.25">
      <c r="A2" t="s">
        <v>126</v>
      </c>
      <c r="B2" s="7">
        <f xml:space="preserve"> 'West Shore Lakes Water Estimate'!D5</f>
        <v>28.000011181000001</v>
      </c>
      <c r="C2" t="s">
        <v>2</v>
      </c>
    </row>
    <row r="3" spans="1:4" s="1" customFormat="1" x14ac:dyDescent="0.25">
      <c r="A3" s="6" t="s">
        <v>128</v>
      </c>
      <c r="B3" s="7">
        <f xml:space="preserve"> 'West Shore Lakes Water Estimate'!D7</f>
        <v>3.5385436000000001</v>
      </c>
      <c r="C3" t="s">
        <v>2</v>
      </c>
    </row>
    <row r="4" spans="1:4" s="1" customFormat="1" x14ac:dyDescent="0.25">
      <c r="A4" s="6" t="s">
        <v>129</v>
      </c>
      <c r="B4" s="7">
        <f xml:space="preserve"> 'West Shore Lakes Water Estimate'!D9</f>
        <v>17.74362163</v>
      </c>
      <c r="C4" t="s">
        <v>2</v>
      </c>
    </row>
    <row r="5" spans="1:4" s="1" customFormat="1" x14ac:dyDescent="0.25">
      <c r="A5" s="6" t="s">
        <v>130</v>
      </c>
      <c r="B5" s="7">
        <f xml:space="preserve"> 'West Shore Lakes Water Estimate'!D10</f>
        <v>17.971699545</v>
      </c>
      <c r="C5" t="s">
        <v>2</v>
      </c>
    </row>
    <row r="6" spans="1:4" x14ac:dyDescent="0.25">
      <c r="A6" t="s">
        <v>127</v>
      </c>
      <c r="B6" s="7">
        <f xml:space="preserve"> SUM(B2:B5)</f>
        <v>67.253875956000002</v>
      </c>
      <c r="C6" t="s">
        <v>2</v>
      </c>
    </row>
    <row r="7" spans="1:4" x14ac:dyDescent="0.25">
      <c r="A7" t="s">
        <v>4</v>
      </c>
      <c r="B7" s="7">
        <v>0</v>
      </c>
      <c r="C7" t="s">
        <v>2</v>
      </c>
    </row>
    <row r="9" spans="1:4" x14ac:dyDescent="0.25">
      <c r="A9" t="s">
        <v>5</v>
      </c>
      <c r="B9" s="2">
        <f xml:space="preserve"> (B6 + B7) * 68/12</f>
        <v>381.10529708400003</v>
      </c>
      <c r="C9" t="s">
        <v>6</v>
      </c>
    </row>
    <row r="10" spans="1:4" x14ac:dyDescent="0.25">
      <c r="A10" t="s">
        <v>7</v>
      </c>
      <c r="B10" s="2">
        <f xml:space="preserve"> (B6 + B7) * 10.93/12</f>
        <v>61.257072016590001</v>
      </c>
      <c r="C10" t="s">
        <v>8</v>
      </c>
    </row>
    <row r="11" spans="1:4" x14ac:dyDescent="0.25">
      <c r="A11" t="s">
        <v>9</v>
      </c>
      <c r="B11" s="2">
        <f xml:space="preserve"> (B6 + B7) * 0.045/12 * 365</f>
        <v>92.053742714774998</v>
      </c>
      <c r="C11" t="s">
        <v>6</v>
      </c>
    </row>
    <row r="12" spans="1:4" x14ac:dyDescent="0.25">
      <c r="A12" t="s">
        <v>10</v>
      </c>
      <c r="B12" s="3">
        <f xml:space="preserve"> (B6 + B7) * 0.061/12</f>
        <v>0.34187386944299997</v>
      </c>
      <c r="C12" t="s">
        <v>11</v>
      </c>
    </row>
    <row r="13" spans="1:4" x14ac:dyDescent="0.25">
      <c r="A13" t="s">
        <v>12</v>
      </c>
      <c r="B13" s="2">
        <f xml:space="preserve"> (B7) * 10.93</f>
        <v>0</v>
      </c>
      <c r="C13" t="s">
        <v>6</v>
      </c>
    </row>
    <row r="14" spans="1:4" x14ac:dyDescent="0.25">
      <c r="A14" t="s">
        <v>214</v>
      </c>
      <c r="B14" s="11">
        <v>0.95</v>
      </c>
      <c r="D14" s="5"/>
    </row>
    <row r="15" spans="1:4" x14ac:dyDescent="0.25">
      <c r="A15" t="s">
        <v>215</v>
      </c>
      <c r="B15" s="4">
        <f xml:space="preserve"> B14 * SUM(B9,B11,B13)</f>
        <v>449.50108780883625</v>
      </c>
      <c r="C15" t="s">
        <v>6</v>
      </c>
      <c r="D15" s="5"/>
    </row>
    <row r="16" spans="1:4" x14ac:dyDescent="0.25">
      <c r="A16" t="s">
        <v>36</v>
      </c>
      <c r="B16" s="4">
        <f xml:space="preserve"> B15 * 325853.383688</f>
        <v>146471450.43394607</v>
      </c>
      <c r="C16" t="s">
        <v>35</v>
      </c>
    </row>
    <row r="17" spans="1:6" x14ac:dyDescent="0.25">
      <c r="B17" s="4"/>
    </row>
    <row r="18" spans="1:6" x14ac:dyDescent="0.25">
      <c r="A18" t="s">
        <v>14</v>
      </c>
      <c r="B18" s="2">
        <f xml:space="preserve"> (1 - B14) * (B10/31 + B12 + B13/365)</f>
        <v>0.11589542253116623</v>
      </c>
      <c r="C18" t="s">
        <v>11</v>
      </c>
    </row>
    <row r="19" spans="1:6" x14ac:dyDescent="0.25">
      <c r="A19" t="s">
        <v>14</v>
      </c>
      <c r="B19" s="2">
        <f>B18 * 325853.383688</f>
        <v>37764.915585730989</v>
      </c>
      <c r="C19" t="s">
        <v>13</v>
      </c>
    </row>
    <row r="20" spans="1:6" x14ac:dyDescent="0.25">
      <c r="A20" t="s">
        <v>16</v>
      </c>
      <c r="B20">
        <v>5.5</v>
      </c>
      <c r="C20" t="s">
        <v>15</v>
      </c>
    </row>
    <row r="21" spans="1:6" x14ac:dyDescent="0.25">
      <c r="A21" t="s">
        <v>33</v>
      </c>
      <c r="B21" s="4">
        <f xml:space="preserve"> B19 / B20 /60</f>
        <v>114.43913813857876</v>
      </c>
      <c r="C21" t="s">
        <v>17</v>
      </c>
    </row>
    <row r="22" spans="1:6" x14ac:dyDescent="0.25">
      <c r="A22" t="s">
        <v>34</v>
      </c>
      <c r="B22" s="4">
        <f xml:space="preserve"> B19 / 24 /60</f>
        <v>26.225635823424298</v>
      </c>
      <c r="C22" t="s">
        <v>17</v>
      </c>
    </row>
    <row r="23" spans="1:6" x14ac:dyDescent="0.25">
      <c r="B23" s="4"/>
    </row>
    <row r="24" spans="1:6" x14ac:dyDescent="0.25">
      <c r="A24" s="1" t="s">
        <v>136</v>
      </c>
      <c r="B24" s="4" t="s">
        <v>131</v>
      </c>
      <c r="C24" t="s">
        <v>132</v>
      </c>
      <c r="D24" t="s">
        <v>133</v>
      </c>
      <c r="E24" t="s">
        <v>134</v>
      </c>
      <c r="F24" t="s">
        <v>135</v>
      </c>
    </row>
    <row r="25" spans="1:6" x14ac:dyDescent="0.25">
      <c r="A25" t="s">
        <v>18</v>
      </c>
      <c r="B25">
        <f xml:space="preserve"> 235 - 226</f>
        <v>9</v>
      </c>
      <c r="C25">
        <v>1.03</v>
      </c>
      <c r="D25" s="11">
        <v>0.84</v>
      </c>
      <c r="E25" s="2">
        <f>($B$21*B25*C25)/(3960*D25)</f>
        <v>0.31891859383857174</v>
      </c>
      <c r="F25" s="2">
        <f xml:space="preserve"> E25*745.699872/1000</f>
        <v>0.23781755460384296</v>
      </c>
    </row>
    <row r="26" spans="1:6" x14ac:dyDescent="0.25">
      <c r="A26" t="s">
        <v>20</v>
      </c>
      <c r="B26">
        <f xml:space="preserve"> B25 + 1</f>
        <v>10</v>
      </c>
      <c r="C26">
        <f xml:space="preserve"> C25 + 0.005</f>
        <v>1.0349999999999999</v>
      </c>
      <c r="D26" s="11">
        <v>0.84</v>
      </c>
      <c r="E26" s="2">
        <f t="shared" ref="E26:E38" si="0">($B$21*B26*C26)/(3960*D26)</f>
        <v>0.35607415816927906</v>
      </c>
      <c r="F26" s="2">
        <f t="shared" ref="F26:F38" si="1" xml:space="preserve"> E26*745.699872/1000</f>
        <v>0.26552445416933917</v>
      </c>
    </row>
    <row r="27" spans="1:6" x14ac:dyDescent="0.25">
      <c r="A27" t="s">
        <v>21</v>
      </c>
      <c r="B27">
        <f t="shared" ref="B27:B38" si="2" xml:space="preserve"> B26 + 1</f>
        <v>11</v>
      </c>
      <c r="C27">
        <f t="shared" ref="C27:C38" si="3" xml:space="preserve"> C26 + 0.005</f>
        <v>1.0399999999999998</v>
      </c>
      <c r="D27" s="11">
        <v>0.84</v>
      </c>
      <c r="E27" s="2">
        <f t="shared" si="0"/>
        <v>0.39357375550304857</v>
      </c>
      <c r="F27" s="2">
        <f t="shared" si="1"/>
        <v>0.29348789910118261</v>
      </c>
    </row>
    <row r="28" spans="1:6" x14ac:dyDescent="0.25">
      <c r="A28" t="s">
        <v>22</v>
      </c>
      <c r="B28">
        <f t="shared" si="2"/>
        <v>12</v>
      </c>
      <c r="C28">
        <f t="shared" si="3"/>
        <v>1.0449999999999997</v>
      </c>
      <c r="D28" s="11">
        <v>0.84</v>
      </c>
      <c r="E28" s="2">
        <f t="shared" si="0"/>
        <v>0.4314173858398801</v>
      </c>
      <c r="F28" s="2">
        <f t="shared" si="1"/>
        <v>0.32170788939937317</v>
      </c>
    </row>
    <row r="29" spans="1:6" x14ac:dyDescent="0.25">
      <c r="A29" t="s">
        <v>23</v>
      </c>
      <c r="B29">
        <f t="shared" si="2"/>
        <v>13</v>
      </c>
      <c r="C29">
        <f t="shared" si="3"/>
        <v>1.0499999999999996</v>
      </c>
      <c r="D29" s="11">
        <v>0.84</v>
      </c>
      <c r="E29" s="2">
        <f t="shared" si="0"/>
        <v>0.46960504917977375</v>
      </c>
      <c r="F29" s="2">
        <f t="shared" si="1"/>
        <v>0.35018442506391101</v>
      </c>
    </row>
    <row r="30" spans="1:6" x14ac:dyDescent="0.25">
      <c r="A30" t="s">
        <v>24</v>
      </c>
      <c r="B30">
        <f t="shared" si="2"/>
        <v>14</v>
      </c>
      <c r="C30">
        <f t="shared" si="3"/>
        <v>1.0549999999999995</v>
      </c>
      <c r="D30" s="11">
        <v>0.84</v>
      </c>
      <c r="E30" s="2">
        <f t="shared" si="0"/>
        <v>0.50813674552272947</v>
      </c>
      <c r="F30" s="2">
        <f t="shared" si="1"/>
        <v>0.37891750609479596</v>
      </c>
    </row>
    <row r="31" spans="1:6" x14ac:dyDescent="0.25">
      <c r="A31" t="s">
        <v>25</v>
      </c>
      <c r="B31">
        <f t="shared" si="2"/>
        <v>15</v>
      </c>
      <c r="C31">
        <f t="shared" si="3"/>
        <v>1.0599999999999994</v>
      </c>
      <c r="D31" s="11">
        <v>0.84</v>
      </c>
      <c r="E31" s="2">
        <f t="shared" si="0"/>
        <v>0.54701247486874738</v>
      </c>
      <c r="F31" s="2">
        <f t="shared" si="1"/>
        <v>0.40790713249202815</v>
      </c>
    </row>
    <row r="32" spans="1:6" x14ac:dyDescent="0.25">
      <c r="A32" t="s">
        <v>26</v>
      </c>
      <c r="B32">
        <f t="shared" si="2"/>
        <v>16</v>
      </c>
      <c r="C32">
        <f t="shared" si="3"/>
        <v>1.0649999999999993</v>
      </c>
      <c r="D32" s="11">
        <v>0.84</v>
      </c>
      <c r="E32" s="2">
        <f t="shared" si="0"/>
        <v>0.58623223721782725</v>
      </c>
      <c r="F32" s="2">
        <f t="shared" si="1"/>
        <v>0.43715330425560744</v>
      </c>
    </row>
    <row r="33" spans="1:6" x14ac:dyDescent="0.25">
      <c r="A33" t="s">
        <v>27</v>
      </c>
      <c r="B33">
        <f t="shared" si="2"/>
        <v>17</v>
      </c>
      <c r="C33">
        <f t="shared" si="3"/>
        <v>1.0699999999999992</v>
      </c>
      <c r="D33" s="11">
        <v>0.84</v>
      </c>
      <c r="E33" s="2">
        <f t="shared" si="0"/>
        <v>0.6257960325699693</v>
      </c>
      <c r="F33" s="2">
        <f t="shared" si="1"/>
        <v>0.46665602138553397</v>
      </c>
    </row>
    <row r="34" spans="1:6" x14ac:dyDescent="0.25">
      <c r="A34" t="s">
        <v>28</v>
      </c>
      <c r="B34">
        <f t="shared" si="2"/>
        <v>18</v>
      </c>
      <c r="C34">
        <f t="shared" si="3"/>
        <v>1.0749999999999991</v>
      </c>
      <c r="D34" s="11">
        <v>0.84</v>
      </c>
      <c r="E34" s="2">
        <f t="shared" si="0"/>
        <v>0.66570386092517342</v>
      </c>
      <c r="F34" s="2">
        <f t="shared" si="1"/>
        <v>0.49641528388180761</v>
      </c>
    </row>
    <row r="35" spans="1:6" x14ac:dyDescent="0.25">
      <c r="A35" t="s">
        <v>29</v>
      </c>
      <c r="B35">
        <f t="shared" si="2"/>
        <v>19</v>
      </c>
      <c r="C35">
        <f t="shared" si="3"/>
        <v>1.079999999999999</v>
      </c>
      <c r="D35" s="11">
        <v>0.84</v>
      </c>
      <c r="E35" s="2">
        <f t="shared" si="0"/>
        <v>0.70595572228343972</v>
      </c>
      <c r="F35" s="2">
        <f t="shared" si="1"/>
        <v>0.52643109174442859</v>
      </c>
    </row>
    <row r="36" spans="1:6" x14ac:dyDescent="0.25">
      <c r="A36" t="s">
        <v>30</v>
      </c>
      <c r="B36">
        <f t="shared" si="2"/>
        <v>20</v>
      </c>
      <c r="C36">
        <f t="shared" si="3"/>
        <v>1.0849999999999989</v>
      </c>
      <c r="D36" s="11">
        <v>0.84</v>
      </c>
      <c r="E36" s="2">
        <f t="shared" si="0"/>
        <v>0.74655161664476799</v>
      </c>
      <c r="F36" s="2">
        <f t="shared" si="1"/>
        <v>0.55670344497339663</v>
      </c>
    </row>
    <row r="37" spans="1:6" x14ac:dyDescent="0.25">
      <c r="A37" t="s">
        <v>31</v>
      </c>
      <c r="B37">
        <f t="shared" si="2"/>
        <v>21</v>
      </c>
      <c r="C37">
        <f t="shared" si="3"/>
        <v>1.0899999999999987</v>
      </c>
      <c r="D37" s="11">
        <v>0.84</v>
      </c>
      <c r="E37" s="2">
        <f t="shared" si="0"/>
        <v>0.78749154400915833</v>
      </c>
      <c r="F37" s="2">
        <f t="shared" si="1"/>
        <v>0.58723234356871168</v>
      </c>
    </row>
    <row r="38" spans="1:6" x14ac:dyDescent="0.25">
      <c r="A38" t="s">
        <v>32</v>
      </c>
      <c r="B38">
        <f t="shared" si="2"/>
        <v>22</v>
      </c>
      <c r="C38">
        <f t="shared" si="3"/>
        <v>1.0949999999999986</v>
      </c>
      <c r="D38" s="11">
        <v>0.84</v>
      </c>
      <c r="E38" s="2">
        <f t="shared" si="0"/>
        <v>0.82877550437661096</v>
      </c>
      <c r="F38" s="2">
        <f t="shared" si="1"/>
        <v>0.61801778753037417</v>
      </c>
    </row>
  </sheetData>
  <printOptions gridLines="1"/>
  <pageMargins left="0.7" right="0.7" top="0.75" bottom="0.75" header="0.3" footer="0.3"/>
  <pageSetup scale="92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8"/>
  <sheetViews>
    <sheetView zoomScaleNormal="100" workbookViewId="0">
      <selection activeCell="F11" sqref="F11"/>
    </sheetView>
  </sheetViews>
  <sheetFormatPr defaultRowHeight="15" x14ac:dyDescent="0.25"/>
  <cols>
    <col min="1" max="1" width="40.140625" customWidth="1"/>
    <col min="2" max="2" width="12.5703125" customWidth="1"/>
    <col min="3" max="3" width="14.28515625" customWidth="1"/>
    <col min="4" max="4" width="14.28515625" bestFit="1" customWidth="1"/>
    <col min="5" max="5" width="9.85546875" customWidth="1"/>
    <col min="6" max="6" width="11.5703125" customWidth="1"/>
    <col min="7" max="7" width="11.42578125" customWidth="1"/>
    <col min="8" max="8" width="11.7109375" customWidth="1"/>
    <col min="9" max="9" width="9" customWidth="1"/>
    <col min="10" max="10" width="10" customWidth="1"/>
    <col min="11" max="11" width="13.28515625" bestFit="1" customWidth="1"/>
    <col min="12" max="12" width="13" customWidth="1"/>
    <col min="13" max="13" width="8.7109375" customWidth="1"/>
    <col min="14" max="14" width="10.28515625" customWidth="1"/>
    <col min="15" max="15" width="11.85546875" customWidth="1"/>
    <col min="16" max="16" width="11.28515625" customWidth="1"/>
    <col min="17" max="17" width="11.7109375" customWidth="1"/>
    <col min="18" max="18" width="10.85546875" customWidth="1"/>
  </cols>
  <sheetData>
    <row r="1" spans="1:16" s="1" customFormat="1" x14ac:dyDescent="0.25">
      <c r="A1" s="1" t="s">
        <v>199</v>
      </c>
      <c r="B1" s="1" t="s">
        <v>0</v>
      </c>
      <c r="C1" s="1" t="s">
        <v>1</v>
      </c>
    </row>
    <row r="2" spans="1:16" x14ac:dyDescent="0.25">
      <c r="A2" t="s">
        <v>3</v>
      </c>
      <c r="B2">
        <v>25</v>
      </c>
      <c r="C2" t="s">
        <v>2</v>
      </c>
      <c r="N2" s="42"/>
      <c r="P2" s="42"/>
    </row>
    <row r="3" spans="1:16" x14ac:dyDescent="0.25">
      <c r="A3" t="s">
        <v>260</v>
      </c>
      <c r="B3" s="2">
        <f xml:space="preserve"> (B2) * 68/12</f>
        <v>141.66666666666666</v>
      </c>
      <c r="C3" t="s">
        <v>6</v>
      </c>
    </row>
    <row r="4" spans="1:16" x14ac:dyDescent="0.25">
      <c r="A4" t="s">
        <v>259</v>
      </c>
      <c r="B4" s="2">
        <f xml:space="preserve"> (B2) * 10.93/12</f>
        <v>22.770833333333332</v>
      </c>
      <c r="C4" t="s">
        <v>8</v>
      </c>
    </row>
    <row r="5" spans="1:16" x14ac:dyDescent="0.25">
      <c r="A5" t="s">
        <v>9</v>
      </c>
      <c r="B5" s="2">
        <f xml:space="preserve"> (B2) * 0.045/12 * 365</f>
        <v>34.21875</v>
      </c>
      <c r="C5" t="s">
        <v>6</v>
      </c>
    </row>
    <row r="6" spans="1:16" x14ac:dyDescent="0.25">
      <c r="A6" t="s">
        <v>10</v>
      </c>
      <c r="B6" s="3">
        <f xml:space="preserve"> (B2) * 0.061/12</f>
        <v>0.12708333333333333</v>
      </c>
      <c r="C6" t="s">
        <v>11</v>
      </c>
    </row>
    <row r="7" spans="1:16" x14ac:dyDescent="0.25">
      <c r="A7" t="s">
        <v>258</v>
      </c>
      <c r="B7" s="2">
        <f xml:space="preserve"> B3 + 1</f>
        <v>142.66666666666666</v>
      </c>
      <c r="C7" t="s">
        <v>6</v>
      </c>
    </row>
    <row r="8" spans="1:16" x14ac:dyDescent="0.25">
      <c r="A8" t="s">
        <v>214</v>
      </c>
      <c r="B8" s="11">
        <v>0</v>
      </c>
    </row>
    <row r="9" spans="1:16" x14ac:dyDescent="0.25">
      <c r="A9" t="s">
        <v>215</v>
      </c>
      <c r="B9" s="4">
        <f xml:space="preserve"> B8 * SUM(B3,B5,B7)</f>
        <v>0</v>
      </c>
      <c r="C9" t="s">
        <v>6</v>
      </c>
      <c r="E9" s="5"/>
    </row>
    <row r="10" spans="1:16" x14ac:dyDescent="0.25">
      <c r="A10" t="s">
        <v>215</v>
      </c>
      <c r="B10" s="4">
        <f xml:space="preserve"> B9 * 325853.383688</f>
        <v>0</v>
      </c>
      <c r="C10" t="s">
        <v>35</v>
      </c>
      <c r="E10" s="5"/>
    </row>
    <row r="12" spans="1:16" x14ac:dyDescent="0.25">
      <c r="A12" t="s">
        <v>14</v>
      </c>
      <c r="B12" s="2">
        <f xml:space="preserve"> (1 - B8) * (B4/31 + B6 + B7/365)</f>
        <v>1.2524939239946973</v>
      </c>
      <c r="C12" t="s">
        <v>11</v>
      </c>
    </row>
    <row r="13" spans="1:16" x14ac:dyDescent="0.25">
      <c r="A13" t="s">
        <v>14</v>
      </c>
      <c r="B13" s="2">
        <f>B12 * 325853.383688</f>
        <v>408129.38318233279</v>
      </c>
      <c r="C13" t="s">
        <v>13</v>
      </c>
    </row>
    <row r="14" spans="1:16" x14ac:dyDescent="0.25">
      <c r="A14" t="s">
        <v>16</v>
      </c>
      <c r="B14">
        <v>5.5</v>
      </c>
      <c r="C14" t="s">
        <v>15</v>
      </c>
    </row>
    <row r="15" spans="1:16" x14ac:dyDescent="0.25">
      <c r="A15" t="s">
        <v>33</v>
      </c>
      <c r="B15" s="4">
        <f xml:space="preserve"> B13 / B14 /60</f>
        <v>1236.7557066131296</v>
      </c>
      <c r="C15" t="s">
        <v>17</v>
      </c>
    </row>
    <row r="16" spans="1:16" x14ac:dyDescent="0.25">
      <c r="A16" t="s">
        <v>34</v>
      </c>
      <c r="B16" s="4">
        <f xml:space="preserve"> B13 / 24 /60</f>
        <v>283.42318276550884</v>
      </c>
      <c r="C16" t="s">
        <v>17</v>
      </c>
    </row>
    <row r="17" spans="1:18" x14ac:dyDescent="0.25">
      <c r="A17" t="s">
        <v>229</v>
      </c>
      <c r="B17" s="44">
        <v>0.2</v>
      </c>
      <c r="C17" t="s">
        <v>236</v>
      </c>
    </row>
    <row r="18" spans="1:18" x14ac:dyDescent="0.25">
      <c r="A18" t="s">
        <v>235</v>
      </c>
      <c r="B18" s="44">
        <v>0.04</v>
      </c>
    </row>
    <row r="19" spans="1:18" x14ac:dyDescent="0.25">
      <c r="A19" t="s">
        <v>234</v>
      </c>
      <c r="B19" s="44">
        <v>2.5000000000000001E-2</v>
      </c>
      <c r="C19" t="s">
        <v>237</v>
      </c>
    </row>
    <row r="20" spans="1:18" x14ac:dyDescent="0.25">
      <c r="B20" t="s">
        <v>256</v>
      </c>
      <c r="C20" s="4" t="s">
        <v>255</v>
      </c>
      <c r="D20" t="s">
        <v>228</v>
      </c>
      <c r="E20" t="s">
        <v>225</v>
      </c>
      <c r="F20" t="s">
        <v>225</v>
      </c>
      <c r="G20" t="s">
        <v>230</v>
      </c>
      <c r="H20" t="s">
        <v>232</v>
      </c>
      <c r="I20" t="s">
        <v>238</v>
      </c>
      <c r="J20" t="s">
        <v>238</v>
      </c>
      <c r="K20" t="s">
        <v>230</v>
      </c>
      <c r="L20" t="s">
        <v>233</v>
      </c>
      <c r="M20" t="s">
        <v>223</v>
      </c>
      <c r="N20" t="s">
        <v>223</v>
      </c>
      <c r="O20" t="s">
        <v>203</v>
      </c>
      <c r="P20" t="s">
        <v>221</v>
      </c>
      <c r="Q20" t="s">
        <v>218</v>
      </c>
      <c r="R20" t="s">
        <v>218</v>
      </c>
    </row>
    <row r="21" spans="1:18" x14ac:dyDescent="0.25">
      <c r="A21" t="s">
        <v>254</v>
      </c>
      <c r="B21" t="s">
        <v>257</v>
      </c>
      <c r="C21" s="4" t="s">
        <v>131</v>
      </c>
      <c r="D21" t="s">
        <v>132</v>
      </c>
      <c r="E21" t="s">
        <v>226</v>
      </c>
      <c r="F21" t="s">
        <v>133</v>
      </c>
      <c r="G21" t="s">
        <v>231</v>
      </c>
      <c r="H21" t="s">
        <v>227</v>
      </c>
      <c r="I21" t="s">
        <v>134</v>
      </c>
      <c r="J21" t="s">
        <v>135</v>
      </c>
      <c r="K21" t="s">
        <v>231</v>
      </c>
      <c r="L21" t="s">
        <v>227</v>
      </c>
      <c r="M21" t="s">
        <v>134</v>
      </c>
      <c r="N21" t="s">
        <v>135</v>
      </c>
      <c r="O21" t="s">
        <v>224</v>
      </c>
      <c r="P21" t="s">
        <v>219</v>
      </c>
      <c r="Q21" t="s">
        <v>220</v>
      </c>
      <c r="R21" t="s">
        <v>222</v>
      </c>
    </row>
    <row r="22" spans="1:18" x14ac:dyDescent="0.25">
      <c r="A22" t="s">
        <v>21</v>
      </c>
      <c r="B22" s="7">
        <v>-237.8</v>
      </c>
      <c r="C22" s="7">
        <f xml:space="preserve"> -226 - B22</f>
        <v>11.800000000000011</v>
      </c>
      <c r="D22">
        <v>1.0349999999999999</v>
      </c>
      <c r="E22">
        <v>514</v>
      </c>
      <c r="F22" s="11">
        <v>0.84</v>
      </c>
      <c r="G22" s="43">
        <f xml:space="preserve"> $B$19 * POWER($B$15/100,2) * E22/100</f>
        <v>19.654906110245818</v>
      </c>
      <c r="H22" s="43">
        <f t="shared" ref="H22:H34" si="0" xml:space="preserve"> C22 + 2.31 * G22 / D22</f>
        <v>55.66747160837474</v>
      </c>
      <c r="I22" s="2">
        <f t="shared" ref="I22:I34" si="1">($B$15*H22*D22)/(3960*F22)</f>
        <v>21.421569984317934</v>
      </c>
      <c r="J22" s="2">
        <f t="shared" ref="J22:N34" si="2" xml:space="preserve"> I22*745.699872/1000</f>
        <v>15.974061995344925</v>
      </c>
      <c r="K22" s="43">
        <f t="shared" ref="K22:K34" si="3" xml:space="preserve"> $B$17 * POWER($B$16/100,2) * E22/100</f>
        <v>8.2577904143741101</v>
      </c>
      <c r="L22" s="43">
        <f t="shared" ref="L22:L34" si="4" xml:space="preserve"> C22 + 2.31 * K22 / D22</f>
        <v>30.230430779907447</v>
      </c>
      <c r="M22" s="2">
        <f t="shared" ref="M22:M34" si="5">($B$16*L22*D22)/(3960*F22)</f>
        <v>2.6659106180237657</v>
      </c>
      <c r="N22" s="2">
        <f t="shared" si="2"/>
        <v>1.9879692066237631</v>
      </c>
      <c r="O22" s="5">
        <f t="shared" ref="O22:O34" si="6" xml:space="preserve"> N22 * 24 * 365 * 0.14</f>
        <v>2438.0454350033833</v>
      </c>
      <c r="P22" s="3">
        <f xml:space="preserve"> 0.5 / 6.1 * M22</f>
        <v>0.21851726377243982</v>
      </c>
      <c r="Q22" s="2">
        <f t="shared" ref="Q22:Q34" si="7" xml:space="preserve"> P22 * 24 * 365</f>
        <v>1914.2112306465729</v>
      </c>
      <c r="R22" s="5">
        <f t="shared" ref="R22:R34" si="8" xml:space="preserve"> 3.35 * Q22</f>
        <v>6412.6076226660189</v>
      </c>
    </row>
    <row r="23" spans="1:18" x14ac:dyDescent="0.25">
      <c r="A23" t="s">
        <v>22</v>
      </c>
      <c r="B23" s="7">
        <v>-238.8</v>
      </c>
      <c r="C23" s="7">
        <f t="shared" ref="C23:C48" si="9" xml:space="preserve"> -226 - B23</f>
        <v>12.800000000000011</v>
      </c>
      <c r="D23">
        <f t="shared" ref="D23:D48" si="10" xml:space="preserve"> D22 + 0.005</f>
        <v>1.0399999999999998</v>
      </c>
      <c r="E23">
        <v>544</v>
      </c>
      <c r="F23" s="11">
        <v>0.84</v>
      </c>
      <c r="G23" s="43">
        <f t="shared" ref="G23:G34" si="11" xml:space="preserve"> $B$19 * POWER($B$15/100,2) * E23/100</f>
        <v>20.802079618625921</v>
      </c>
      <c r="H23" s="43">
        <f t="shared" si="0"/>
        <v>59.00461915290952</v>
      </c>
      <c r="I23" s="2">
        <f t="shared" si="1"/>
        <v>22.815437539697875</v>
      </c>
      <c r="J23" s="2">
        <f t="shared" si="2"/>
        <v>17.0134688529767</v>
      </c>
      <c r="K23" s="43">
        <f t="shared" si="3"/>
        <v>8.7397626175476955</v>
      </c>
      <c r="L23" s="43">
        <f t="shared" si="4"/>
        <v>32.212357352437685</v>
      </c>
      <c r="M23" s="2">
        <f t="shared" si="5"/>
        <v>2.8544125778668046</v>
      </c>
      <c r="N23" s="2">
        <f t="shared" si="2"/>
        <v>2.1285350939504664</v>
      </c>
      <c r="O23" s="5">
        <f t="shared" si="6"/>
        <v>2610.435439220852</v>
      </c>
      <c r="P23" s="3">
        <f t="shared" ref="P23:P34" si="12" xml:space="preserve"> 0.5 / 6.1 * M23</f>
        <v>0.23396824408744302</v>
      </c>
      <c r="Q23" s="2">
        <f t="shared" si="7"/>
        <v>2049.5618182060011</v>
      </c>
      <c r="R23" s="5">
        <f t="shared" si="8"/>
        <v>6866.0320909901038</v>
      </c>
    </row>
    <row r="24" spans="1:18" x14ac:dyDescent="0.25">
      <c r="A24" t="s">
        <v>23</v>
      </c>
      <c r="B24" s="7">
        <v>-239.9</v>
      </c>
      <c r="C24" s="7">
        <f t="shared" si="9"/>
        <v>13.900000000000006</v>
      </c>
      <c r="D24">
        <f t="shared" si="10"/>
        <v>1.0449999999999997</v>
      </c>
      <c r="E24">
        <v>567</v>
      </c>
      <c r="F24" s="11">
        <v>0.84</v>
      </c>
      <c r="G24" s="43">
        <f t="shared" si="11"/>
        <v>21.681579308384002</v>
      </c>
      <c r="H24" s="43">
        <f t="shared" si="0"/>
        <v>61.827701629059398</v>
      </c>
      <c r="I24" s="2">
        <f t="shared" si="1"/>
        <v>24.021982366298751</v>
      </c>
      <c r="J24" s="2">
        <f t="shared" si="2"/>
        <v>17.913189175735234</v>
      </c>
      <c r="K24" s="43">
        <f t="shared" si="3"/>
        <v>9.1092746399807787</v>
      </c>
      <c r="L24" s="43">
        <f t="shared" si="4"/>
        <v>34.036291309431206</v>
      </c>
      <c r="M24" s="2">
        <f t="shared" si="5"/>
        <v>3.0305358174042216</v>
      </c>
      <c r="N24" s="2">
        <f t="shared" si="2"/>
        <v>2.2598701711297435</v>
      </c>
      <c r="O24" s="5">
        <f t="shared" si="6"/>
        <v>2771.5047778735175</v>
      </c>
      <c r="P24" s="3">
        <f t="shared" si="12"/>
        <v>0.24840457519706738</v>
      </c>
      <c r="Q24" s="2">
        <f t="shared" si="7"/>
        <v>2176.0240787263101</v>
      </c>
      <c r="R24" s="5">
        <f t="shared" si="8"/>
        <v>7289.6806637331392</v>
      </c>
    </row>
    <row r="25" spans="1:18" x14ac:dyDescent="0.25">
      <c r="A25" t="s">
        <v>24</v>
      </c>
      <c r="B25" s="7">
        <v>-241</v>
      </c>
      <c r="C25" s="7">
        <f t="shared" si="9"/>
        <v>15</v>
      </c>
      <c r="D25">
        <f t="shared" si="10"/>
        <v>1.0499999999999996</v>
      </c>
      <c r="E25">
        <v>594</v>
      </c>
      <c r="F25" s="11">
        <v>0.84</v>
      </c>
      <c r="G25" s="43">
        <f t="shared" si="11"/>
        <v>22.714035465926099</v>
      </c>
      <c r="H25" s="43">
        <f t="shared" si="0"/>
        <v>64.970878025037436</v>
      </c>
      <c r="I25" s="2">
        <f t="shared" si="1"/>
        <v>25.363984899346779</v>
      </c>
      <c r="J25" s="2">
        <f t="shared" si="2"/>
        <v>18.913920292852826</v>
      </c>
      <c r="K25" s="43">
        <f t="shared" si="3"/>
        <v>9.5430496228370068</v>
      </c>
      <c r="L25" s="43">
        <f t="shared" si="4"/>
        <v>35.994709170241421</v>
      </c>
      <c r="M25" s="2">
        <f t="shared" si="5"/>
        <v>3.220244645122686</v>
      </c>
      <c r="N25" s="2">
        <f t="shared" si="2"/>
        <v>2.4013360196766724</v>
      </c>
      <c r="O25" s="5">
        <f t="shared" si="6"/>
        <v>2944.9984945314714</v>
      </c>
      <c r="P25" s="3">
        <f t="shared" si="12"/>
        <v>0.26395447910841691</v>
      </c>
      <c r="Q25" s="2">
        <f t="shared" si="7"/>
        <v>2312.241236989732</v>
      </c>
      <c r="R25" s="5">
        <f t="shared" si="8"/>
        <v>7746.008143915602</v>
      </c>
    </row>
    <row r="26" spans="1:18" x14ac:dyDescent="0.25">
      <c r="A26" t="s">
        <v>25</v>
      </c>
      <c r="B26" s="7">
        <v>-242</v>
      </c>
      <c r="C26" s="7">
        <f t="shared" si="9"/>
        <v>16</v>
      </c>
      <c r="D26">
        <f t="shared" si="10"/>
        <v>1.0549999999999995</v>
      </c>
      <c r="E26">
        <v>614</v>
      </c>
      <c r="F26" s="11">
        <v>0.84</v>
      </c>
      <c r="G26" s="43">
        <f t="shared" si="11"/>
        <v>23.478817804846173</v>
      </c>
      <c r="H26" s="43">
        <f t="shared" si="0"/>
        <v>67.408596330990221</v>
      </c>
      <c r="I26" s="2">
        <f t="shared" si="1"/>
        <v>26.440958491890726</v>
      </c>
      <c r="J26" s="2">
        <f t="shared" si="2"/>
        <v>19.71701936296023</v>
      </c>
      <c r="K26" s="43">
        <f t="shared" si="3"/>
        <v>9.8643644249527309</v>
      </c>
      <c r="L26" s="43">
        <f t="shared" si="4"/>
        <v>37.598750541839635</v>
      </c>
      <c r="M26" s="2">
        <f t="shared" si="5"/>
        <v>3.379767079015207</v>
      </c>
      <c r="N26" s="2">
        <f t="shared" si="2"/>
        <v>2.5202918782114541</v>
      </c>
      <c r="O26" s="5">
        <f t="shared" si="6"/>
        <v>3090.8859594385276</v>
      </c>
      <c r="P26" s="3">
        <f t="shared" si="12"/>
        <v>0.27703008844386945</v>
      </c>
      <c r="Q26" s="2">
        <f t="shared" si="7"/>
        <v>2426.7835747682961</v>
      </c>
      <c r="R26" s="5">
        <f t="shared" si="8"/>
        <v>8129.7249754737923</v>
      </c>
    </row>
    <row r="27" spans="1:18" x14ac:dyDescent="0.25">
      <c r="A27" t="s">
        <v>26</v>
      </c>
      <c r="B27" s="7">
        <v>-243</v>
      </c>
      <c r="C27" s="7">
        <f t="shared" si="9"/>
        <v>17</v>
      </c>
      <c r="D27">
        <f t="shared" si="10"/>
        <v>1.0599999999999994</v>
      </c>
      <c r="E27">
        <v>632</v>
      </c>
      <c r="F27" s="11">
        <v>0.84</v>
      </c>
      <c r="G27" s="43">
        <f t="shared" si="11"/>
        <v>24.167121909874236</v>
      </c>
      <c r="H27" s="43">
        <f t="shared" si="0"/>
        <v>69.666086426235395</v>
      </c>
      <c r="I27" s="2">
        <f t="shared" si="1"/>
        <v>27.455966132080647</v>
      </c>
      <c r="J27" s="2">
        <f t="shared" si="2"/>
        <v>20.473910430328875</v>
      </c>
      <c r="K27" s="43">
        <f t="shared" si="3"/>
        <v>10.153547746856882</v>
      </c>
      <c r="L27" s="43">
        <f t="shared" si="4"/>
        <v>39.127071033244725</v>
      </c>
      <c r="M27" s="2">
        <f t="shared" si="5"/>
        <v>3.5338173835998137</v>
      </c>
      <c r="N27" s="2">
        <f t="shared" si="2"/>
        <v>2.6351671706217563</v>
      </c>
      <c r="O27" s="5">
        <f t="shared" si="6"/>
        <v>3231.7690180505224</v>
      </c>
      <c r="P27" s="3">
        <f t="shared" si="12"/>
        <v>0.28965716259014868</v>
      </c>
      <c r="Q27" s="2">
        <f t="shared" si="7"/>
        <v>2537.3967442897024</v>
      </c>
      <c r="R27" s="5">
        <f t="shared" si="8"/>
        <v>8500.2790933705037</v>
      </c>
    </row>
    <row r="28" spans="1:18" x14ac:dyDescent="0.25">
      <c r="A28" t="s">
        <v>27</v>
      </c>
      <c r="B28" s="7">
        <v>-243.9</v>
      </c>
      <c r="C28" s="7">
        <f t="shared" si="9"/>
        <v>17.900000000000006</v>
      </c>
      <c r="D28">
        <f t="shared" si="10"/>
        <v>1.0649999999999993</v>
      </c>
      <c r="E28">
        <v>652</v>
      </c>
      <c r="F28" s="11">
        <v>0.84</v>
      </c>
      <c r="G28" s="43">
        <f t="shared" si="11"/>
        <v>24.931904248794304</v>
      </c>
      <c r="H28" s="43">
        <f t="shared" si="0"/>
        <v>71.977651469215857</v>
      </c>
      <c r="I28" s="2">
        <f t="shared" si="1"/>
        <v>28.500779019771883</v>
      </c>
      <c r="J28" s="2">
        <f t="shared" si="2"/>
        <v>21.25302726694418</v>
      </c>
      <c r="K28" s="43">
        <f t="shared" si="3"/>
        <v>10.474862548972606</v>
      </c>
      <c r="L28" s="43">
        <f t="shared" si="4"/>
        <v>40.620124401996939</v>
      </c>
      <c r="M28" s="2">
        <f t="shared" si="5"/>
        <v>3.6859696559635919</v>
      </c>
      <c r="N28" s="2">
        <f t="shared" si="2"/>
        <v>2.7486271006479348</v>
      </c>
      <c r="O28" s="5">
        <f t="shared" si="6"/>
        <v>3370.9162762346273</v>
      </c>
      <c r="P28" s="3">
        <f t="shared" si="12"/>
        <v>0.30212866032488461</v>
      </c>
      <c r="Q28" s="2">
        <f t="shared" si="7"/>
        <v>2646.6470644459891</v>
      </c>
      <c r="R28" s="5">
        <f t="shared" si="8"/>
        <v>8866.2676658940636</v>
      </c>
    </row>
    <row r="29" spans="1:18" x14ac:dyDescent="0.25">
      <c r="A29" t="s">
        <v>28</v>
      </c>
      <c r="B29" s="7">
        <v>-244.8</v>
      </c>
      <c r="C29" s="7">
        <f t="shared" si="9"/>
        <v>18.800000000000011</v>
      </c>
      <c r="D29">
        <f t="shared" si="10"/>
        <v>1.0699999999999992</v>
      </c>
      <c r="E29">
        <v>670</v>
      </c>
      <c r="F29" s="11">
        <v>0.84</v>
      </c>
      <c r="G29" s="43">
        <f t="shared" si="11"/>
        <v>25.620208353822367</v>
      </c>
      <c r="H29" s="43">
        <f t="shared" si="0"/>
        <v>74.110917100308143</v>
      </c>
      <c r="I29" s="2">
        <f t="shared" si="1"/>
        <v>29.483254155053</v>
      </c>
      <c r="J29" s="2">
        <f t="shared" si="2"/>
        <v>21.985658849566491</v>
      </c>
      <c r="K29" s="43">
        <f t="shared" si="3"/>
        <v>10.764045870876757</v>
      </c>
      <c r="L29" s="43">
        <f t="shared" si="4"/>
        <v>42.038267253948916</v>
      </c>
      <c r="M29" s="2">
        <f t="shared" si="5"/>
        <v>3.8325645948399316</v>
      </c>
      <c r="N29" s="2">
        <f t="shared" si="2"/>
        <v>2.8579429278038688</v>
      </c>
      <c r="O29" s="5">
        <f t="shared" si="6"/>
        <v>3504.9812066586651</v>
      </c>
      <c r="P29" s="3">
        <f t="shared" si="12"/>
        <v>0.3141446389213059</v>
      </c>
      <c r="Q29" s="2">
        <f t="shared" si="7"/>
        <v>2751.9070369506398</v>
      </c>
      <c r="R29" s="5">
        <f t="shared" si="8"/>
        <v>9218.8885737846431</v>
      </c>
    </row>
    <row r="30" spans="1:18" x14ac:dyDescent="0.25">
      <c r="A30" t="s">
        <v>29</v>
      </c>
      <c r="B30" s="7">
        <v>-245.6</v>
      </c>
      <c r="C30" s="7">
        <f t="shared" si="9"/>
        <v>19.599999999999994</v>
      </c>
      <c r="D30">
        <f t="shared" si="10"/>
        <v>1.0749999999999991</v>
      </c>
      <c r="E30">
        <v>696</v>
      </c>
      <c r="F30" s="11">
        <v>0.84</v>
      </c>
      <c r="G30" s="43">
        <f t="shared" si="11"/>
        <v>26.614425394418458</v>
      </c>
      <c r="H30" s="43">
        <f t="shared" si="0"/>
        <v>76.790067591727137</v>
      </c>
      <c r="I30" s="2">
        <f t="shared" si="1"/>
        <v>30.69184279646829</v>
      </c>
      <c r="J30" s="2">
        <f t="shared" si="2"/>
        <v>22.886903244770526</v>
      </c>
      <c r="K30" s="43">
        <f t="shared" si="3"/>
        <v>11.181755113627201</v>
      </c>
      <c r="L30" s="43">
        <f t="shared" si="4"/>
        <v>43.627771453468696</v>
      </c>
      <c r="M30" s="2">
        <f t="shared" si="5"/>
        <v>3.996063606445833</v>
      </c>
      <c r="N30" s="2">
        <f t="shared" si="2"/>
        <v>2.9798641198305162</v>
      </c>
      <c r="O30" s="5">
        <f t="shared" si="6"/>
        <v>3654.5053565601456</v>
      </c>
      <c r="P30" s="3">
        <f t="shared" si="12"/>
        <v>0.3275461972496585</v>
      </c>
      <c r="Q30" s="2">
        <f t="shared" si="7"/>
        <v>2869.3046879070084</v>
      </c>
      <c r="R30" s="5">
        <f t="shared" si="8"/>
        <v>9612.1707044884788</v>
      </c>
    </row>
    <row r="31" spans="1:18" x14ac:dyDescent="0.25">
      <c r="A31" t="s">
        <v>30</v>
      </c>
      <c r="B31" s="7">
        <v>-246.3</v>
      </c>
      <c r="C31" s="7">
        <f t="shared" si="9"/>
        <v>20.300000000000011</v>
      </c>
      <c r="D31">
        <f t="shared" si="10"/>
        <v>1.079999999999999</v>
      </c>
      <c r="E31">
        <v>731</v>
      </c>
      <c r="F31" s="11">
        <v>0.84</v>
      </c>
      <c r="G31" s="43">
        <f t="shared" si="11"/>
        <v>27.952794487528585</v>
      </c>
      <c r="H31" s="43">
        <f t="shared" si="0"/>
        <v>80.08792154276955</v>
      </c>
      <c r="I31" s="2">
        <f t="shared" si="1"/>
        <v>32.158829220391155</v>
      </c>
      <c r="J31" s="2">
        <f t="shared" si="2"/>
        <v>23.980834833315544</v>
      </c>
      <c r="K31" s="43">
        <f t="shared" si="3"/>
        <v>11.744056017329717</v>
      </c>
      <c r="L31" s="43">
        <f t="shared" si="4"/>
        <v>45.419230925955262</v>
      </c>
      <c r="M31" s="2">
        <f t="shared" si="5"/>
        <v>4.1795009700635903</v>
      </c>
      <c r="N31" s="2">
        <f t="shared" si="2"/>
        <v>3.1166533384002952</v>
      </c>
      <c r="O31" s="5">
        <f t="shared" si="6"/>
        <v>3822.2636542141227</v>
      </c>
      <c r="P31" s="3">
        <f t="shared" si="12"/>
        <v>0.34258204672652381</v>
      </c>
      <c r="Q31" s="2">
        <f t="shared" si="7"/>
        <v>3001.0187293243489</v>
      </c>
      <c r="R31" s="5">
        <f t="shared" si="8"/>
        <v>10053.412743236569</v>
      </c>
    </row>
    <row r="32" spans="1:18" x14ac:dyDescent="0.25">
      <c r="A32" t="s">
        <v>31</v>
      </c>
      <c r="B32" s="7">
        <v>-247</v>
      </c>
      <c r="C32" s="7">
        <f t="shared" si="9"/>
        <v>21</v>
      </c>
      <c r="D32">
        <f t="shared" si="10"/>
        <v>1.0849999999999989</v>
      </c>
      <c r="E32">
        <v>758</v>
      </c>
      <c r="F32" s="11">
        <v>0.84</v>
      </c>
      <c r="G32" s="43">
        <f t="shared" si="11"/>
        <v>28.985250645070678</v>
      </c>
      <c r="H32" s="43">
        <f t="shared" si="0"/>
        <v>82.710533631440853</v>
      </c>
      <c r="I32" s="2">
        <f t="shared" si="1"/>
        <v>33.365682433046594</v>
      </c>
      <c r="J32" s="2">
        <f t="shared" si="2"/>
        <v>24.880785119515494</v>
      </c>
      <c r="K32" s="43">
        <f t="shared" si="3"/>
        <v>12.177831000185945</v>
      </c>
      <c r="L32" s="43">
        <f t="shared" si="4"/>
        <v>46.926995032653977</v>
      </c>
      <c r="M32" s="2">
        <f t="shared" si="5"/>
        <v>4.3382380785254204</v>
      </c>
      <c r="N32" s="2">
        <f t="shared" si="2"/>
        <v>3.2350235798619318</v>
      </c>
      <c r="O32" s="5">
        <f t="shared" si="6"/>
        <v>3967.4329183426739</v>
      </c>
      <c r="P32" s="3">
        <f t="shared" si="12"/>
        <v>0.35559328512503452</v>
      </c>
      <c r="Q32" s="2">
        <f t="shared" si="7"/>
        <v>3114.9971776953025</v>
      </c>
      <c r="R32" s="5">
        <f t="shared" si="8"/>
        <v>10435.240545279265</v>
      </c>
    </row>
    <row r="33" spans="1:18" x14ac:dyDescent="0.25">
      <c r="A33" t="s">
        <v>32</v>
      </c>
      <c r="B33" s="7">
        <v>-247.5</v>
      </c>
      <c r="C33" s="7">
        <f t="shared" si="9"/>
        <v>21.5</v>
      </c>
      <c r="D33">
        <f t="shared" si="10"/>
        <v>1.0899999999999987</v>
      </c>
      <c r="E33">
        <v>813</v>
      </c>
      <c r="F33" s="11">
        <v>0.84</v>
      </c>
      <c r="G33" s="43">
        <f t="shared" si="11"/>
        <v>31.088402077100874</v>
      </c>
      <c r="H33" s="43">
        <f t="shared" si="0"/>
        <v>87.384595227617524</v>
      </c>
      <c r="I33" s="2">
        <f t="shared" si="1"/>
        <v>35.413661174675141</v>
      </c>
      <c r="J33" s="2">
        <f t="shared" si="2"/>
        <v>26.40796260500662</v>
      </c>
      <c r="K33" s="43">
        <f t="shared" si="3"/>
        <v>13.061446706004185</v>
      </c>
      <c r="L33" s="43">
        <f t="shared" si="4"/>
        <v>49.180680633825418</v>
      </c>
      <c r="M33" s="2">
        <f t="shared" si="5"/>
        <v>4.5675355005519354</v>
      </c>
      <c r="N33" s="2">
        <f t="shared" si="2"/>
        <v>3.4060106381170345</v>
      </c>
      <c r="O33" s="5">
        <f t="shared" si="6"/>
        <v>4177.1314465867317</v>
      </c>
      <c r="P33" s="3">
        <f t="shared" si="12"/>
        <v>0.37438815578294554</v>
      </c>
      <c r="Q33" s="2">
        <f t="shared" si="7"/>
        <v>3279.6402446586026</v>
      </c>
      <c r="R33" s="5">
        <f t="shared" si="8"/>
        <v>10986.794819606319</v>
      </c>
    </row>
    <row r="34" spans="1:18" x14ac:dyDescent="0.25">
      <c r="A34" t="s">
        <v>239</v>
      </c>
      <c r="B34" s="7">
        <v>-248</v>
      </c>
      <c r="C34" s="7">
        <f t="shared" si="9"/>
        <v>22</v>
      </c>
      <c r="D34">
        <f t="shared" si="10"/>
        <v>1.0949999999999986</v>
      </c>
      <c r="E34">
        <v>901</v>
      </c>
      <c r="F34" s="11">
        <v>0.84</v>
      </c>
      <c r="G34" s="43">
        <f t="shared" si="11"/>
        <v>34.453444368349189</v>
      </c>
      <c r="H34" s="43">
        <f t="shared" si="0"/>
        <v>94.682608667476458</v>
      </c>
      <c r="I34" s="2">
        <f t="shared" si="1"/>
        <v>38.54728413968207</v>
      </c>
      <c r="J34" s="2">
        <f t="shared" si="2"/>
        <v>28.744704848908551</v>
      </c>
      <c r="K34" s="43">
        <f t="shared" si="3"/>
        <v>14.475231835313371</v>
      </c>
      <c r="L34" s="43">
        <f t="shared" si="4"/>
        <v>52.536790447099477</v>
      </c>
      <c r="M34" s="2">
        <f t="shared" si="5"/>
        <v>4.9016077666779818</v>
      </c>
      <c r="N34" s="2">
        <f t="shared" si="2"/>
        <v>3.6551282842059774</v>
      </c>
      <c r="O34" s="5">
        <f t="shared" si="6"/>
        <v>4482.6493277502113</v>
      </c>
      <c r="P34" s="3">
        <f t="shared" si="12"/>
        <v>0.40177112841622803</v>
      </c>
      <c r="Q34" s="2">
        <f t="shared" si="7"/>
        <v>3519.5150849261577</v>
      </c>
      <c r="R34" s="5">
        <f t="shared" si="8"/>
        <v>11790.375534502629</v>
      </c>
    </row>
    <row r="35" spans="1:18" x14ac:dyDescent="0.25">
      <c r="A35" t="s">
        <v>240</v>
      </c>
      <c r="B35" s="7">
        <v>-248.5</v>
      </c>
      <c r="C35" s="7">
        <f t="shared" si="9"/>
        <v>22.5</v>
      </c>
      <c r="D35">
        <f t="shared" si="10"/>
        <v>1.0999999999999985</v>
      </c>
      <c r="E35">
        <v>901</v>
      </c>
      <c r="F35" s="11">
        <v>0.84</v>
      </c>
      <c r="G35" s="43">
        <f t="shared" ref="G35:G48" si="13" xml:space="preserve"> $B$19 * POWER($B$15/100,2) * E35/100</f>
        <v>34.453444368349189</v>
      </c>
      <c r="H35" s="43">
        <f t="shared" ref="H35:H48" si="14" xml:space="preserve"> C35 + 2.31 * G35 / D35</f>
        <v>94.852233173533392</v>
      </c>
      <c r="I35" s="2">
        <f t="shared" ref="I35:I48" si="15">($B$15*H35*D35)/(3960*F35)</f>
        <v>38.792672176708486</v>
      </c>
      <c r="J35" s="2">
        <f t="shared" ref="J35:J48" si="16" xml:space="preserve"> I35*745.699872/1000</f>
        <v>28.927690676709481</v>
      </c>
      <c r="K35" s="43">
        <f t="shared" ref="K35:K48" si="17" xml:space="preserve"> $B$17 * POWER($B$16/100,2) * E35/100</f>
        <v>14.475231835313371</v>
      </c>
      <c r="L35" s="43">
        <f t="shared" ref="L35:L48" si="18" xml:space="preserve"> C35 + 2.31 * K35 / D35</f>
        <v>52.89798685415812</v>
      </c>
      <c r="M35" s="2">
        <f t="shared" ref="M35:M48" si="19">($B$16*L35*D35)/(3960*F35)</f>
        <v>4.9578425251632021</v>
      </c>
      <c r="N35" s="2">
        <f t="shared" ref="N35:N48" si="20" xml:space="preserve"> M35*745.699872/1000</f>
        <v>3.6970625364103564</v>
      </c>
      <c r="O35" s="5">
        <f t="shared" ref="O35:O48" si="21" xml:space="preserve"> N35 * 24 * 365 * 0.14</f>
        <v>4534.0774946536612</v>
      </c>
      <c r="P35" s="3">
        <f t="shared" ref="P35:P48" si="22" xml:space="preserve"> 0.5 / 6.1 * M35</f>
        <v>0.40638053484944281</v>
      </c>
      <c r="Q35" s="2">
        <f t="shared" ref="Q35:Q48" si="23" xml:space="preserve"> P35 * 24 * 365</f>
        <v>3559.8934852811185</v>
      </c>
      <c r="R35" s="5">
        <f t="shared" ref="R35:R48" si="24" xml:space="preserve"> 3.35 * Q35</f>
        <v>11925.643175691748</v>
      </c>
    </row>
    <row r="36" spans="1:18" x14ac:dyDescent="0.25">
      <c r="A36" t="s">
        <v>241</v>
      </c>
      <c r="B36" s="7">
        <v>-248.8</v>
      </c>
      <c r="C36" s="7">
        <f t="shared" si="9"/>
        <v>22.800000000000011</v>
      </c>
      <c r="D36">
        <f t="shared" si="10"/>
        <v>1.1049999999999984</v>
      </c>
      <c r="E36">
        <v>901</v>
      </c>
      <c r="F36" s="11">
        <v>0.84</v>
      </c>
      <c r="G36" s="43">
        <f t="shared" si="13"/>
        <v>34.453444368349189</v>
      </c>
      <c r="H36" s="43">
        <f t="shared" si="14"/>
        <v>94.82484750306493</v>
      </c>
      <c r="I36" s="2">
        <f t="shared" si="15"/>
        <v>38.957751401617166</v>
      </c>
      <c r="J36" s="2">
        <f t="shared" si="16"/>
        <v>29.050790233593744</v>
      </c>
      <c r="K36" s="43">
        <f t="shared" si="17"/>
        <v>14.475231835313371</v>
      </c>
      <c r="L36" s="43">
        <f t="shared" si="18"/>
        <v>53.060439402329365</v>
      </c>
      <c r="M36" s="2">
        <f t="shared" si="19"/>
        <v>4.9956731808714414</v>
      </c>
      <c r="N36" s="2">
        <f t="shared" si="20"/>
        <v>3.7252728515296667</v>
      </c>
      <c r="O36" s="5">
        <f t="shared" si="21"/>
        <v>4568.6746251159839</v>
      </c>
      <c r="P36" s="3">
        <f t="shared" si="22"/>
        <v>0.40948140826815099</v>
      </c>
      <c r="Q36" s="2">
        <f t="shared" si="23"/>
        <v>3587.0571364290026</v>
      </c>
      <c r="R36" s="5">
        <f t="shared" si="24"/>
        <v>12016.641407037159</v>
      </c>
    </row>
    <row r="37" spans="1:18" x14ac:dyDescent="0.25">
      <c r="A37" t="s">
        <v>242</v>
      </c>
      <c r="B37" s="7">
        <v>-249.2</v>
      </c>
      <c r="C37" s="7">
        <f t="shared" si="9"/>
        <v>23.199999999999989</v>
      </c>
      <c r="D37">
        <f t="shared" si="10"/>
        <v>1.1099999999999983</v>
      </c>
      <c r="E37">
        <v>901</v>
      </c>
      <c r="F37" s="11">
        <v>0.84</v>
      </c>
      <c r="G37" s="43">
        <f t="shared" si="13"/>
        <v>34.453444368349189</v>
      </c>
      <c r="H37" s="43">
        <f t="shared" si="14"/>
        <v>94.900411253051104</v>
      </c>
      <c r="I37" s="2">
        <f t="shared" si="15"/>
        <v>39.165215832921305</v>
      </c>
      <c r="J37" s="2">
        <f t="shared" si="16"/>
        <v>29.205496433461789</v>
      </c>
      <c r="K37" s="43">
        <f t="shared" si="17"/>
        <v>14.475231835313371</v>
      </c>
      <c r="L37" s="43">
        <f t="shared" si="18"/>
        <v>53.32413111673327</v>
      </c>
      <c r="M37" s="2">
        <f t="shared" si="19"/>
        <v>5.0432171130453067</v>
      </c>
      <c r="N37" s="2">
        <f t="shared" si="20"/>
        <v>3.7607263556660953</v>
      </c>
      <c r="O37" s="5">
        <f t="shared" si="21"/>
        <v>4612.1548025888997</v>
      </c>
      <c r="P37" s="3">
        <f t="shared" si="22"/>
        <v>0.41337845188895961</v>
      </c>
      <c r="Q37" s="2">
        <f t="shared" si="23"/>
        <v>3621.195238547286</v>
      </c>
      <c r="R37" s="5">
        <f t="shared" si="24"/>
        <v>12131.004049133408</v>
      </c>
    </row>
    <row r="38" spans="1:18" x14ac:dyDescent="0.25">
      <c r="A38" t="s">
        <v>243</v>
      </c>
      <c r="B38" s="7">
        <v>-249.5</v>
      </c>
      <c r="C38" s="7">
        <f t="shared" si="9"/>
        <v>23.5</v>
      </c>
      <c r="D38">
        <f t="shared" si="10"/>
        <v>1.1149999999999982</v>
      </c>
      <c r="E38">
        <v>901</v>
      </c>
      <c r="F38" s="11">
        <v>0.84</v>
      </c>
      <c r="G38" s="43">
        <f t="shared" si="13"/>
        <v>34.453444368349189</v>
      </c>
      <c r="H38" s="43">
        <f t="shared" si="14"/>
        <v>94.878884745189907</v>
      </c>
      <c r="I38" s="2">
        <f t="shared" si="15"/>
        <v>39.332711758194641</v>
      </c>
      <c r="J38" s="2">
        <f t="shared" si="16"/>
        <v>29.33039812349864</v>
      </c>
      <c r="K38" s="43">
        <f t="shared" si="17"/>
        <v>14.475231835313371</v>
      </c>
      <c r="L38" s="43">
        <f t="shared" si="18"/>
        <v>53.489045326972146</v>
      </c>
      <c r="M38" s="2">
        <f t="shared" si="19"/>
        <v>5.0816015959204464</v>
      </c>
      <c r="N38" s="2">
        <f t="shared" si="20"/>
        <v>3.7893496596328728</v>
      </c>
      <c r="O38" s="5">
        <f t="shared" si="21"/>
        <v>4647.2584225737555</v>
      </c>
      <c r="P38" s="3">
        <f t="shared" si="22"/>
        <v>0.41652472097708582</v>
      </c>
      <c r="Q38" s="2">
        <f t="shared" si="23"/>
        <v>3648.7565557592716</v>
      </c>
      <c r="R38" s="5">
        <f t="shared" si="24"/>
        <v>12223.33446179356</v>
      </c>
    </row>
    <row r="39" spans="1:18" x14ac:dyDescent="0.25">
      <c r="A39" t="s">
        <v>244</v>
      </c>
      <c r="B39" s="7">
        <v>-249.8</v>
      </c>
      <c r="C39" s="7">
        <f t="shared" si="9"/>
        <v>23.800000000000011</v>
      </c>
      <c r="D39">
        <f t="shared" si="10"/>
        <v>1.1199999999999981</v>
      </c>
      <c r="E39">
        <v>901</v>
      </c>
      <c r="F39" s="11">
        <v>0.84</v>
      </c>
      <c r="G39" s="43">
        <f t="shared" si="13"/>
        <v>34.453444368349189</v>
      </c>
      <c r="H39" s="43">
        <f t="shared" si="14"/>
        <v>94.860229009720328</v>
      </c>
      <c r="I39" s="2">
        <f t="shared" si="15"/>
        <v>39.501323083636279</v>
      </c>
      <c r="J39" s="2">
        <f t="shared" si="16"/>
        <v>29.456131567298222</v>
      </c>
      <c r="K39" s="43">
        <f t="shared" si="17"/>
        <v>14.475231835313371</v>
      </c>
      <c r="L39" s="43">
        <f t="shared" si="18"/>
        <v>53.655165660333893</v>
      </c>
      <c r="M39" s="2">
        <f t="shared" si="19"/>
        <v>5.1202416913341544</v>
      </c>
      <c r="N39" s="2">
        <f t="shared" si="20"/>
        <v>3.8181635738369426</v>
      </c>
      <c r="O39" s="5">
        <f t="shared" si="21"/>
        <v>4682.5958069536273</v>
      </c>
      <c r="P39" s="3">
        <f t="shared" si="22"/>
        <v>0.41969194191263565</v>
      </c>
      <c r="Q39" s="2">
        <f t="shared" si="23"/>
        <v>3676.501411154688</v>
      </c>
      <c r="R39" s="5">
        <f t="shared" si="24"/>
        <v>12316.279727368204</v>
      </c>
    </row>
    <row r="40" spans="1:18" x14ac:dyDescent="0.25">
      <c r="A40" t="s">
        <v>245</v>
      </c>
      <c r="B40" s="7">
        <v>-250</v>
      </c>
      <c r="C40" s="7">
        <f t="shared" si="9"/>
        <v>24</v>
      </c>
      <c r="D40">
        <f t="shared" si="10"/>
        <v>1.124999999999998</v>
      </c>
      <c r="E40">
        <v>901</v>
      </c>
      <c r="F40" s="11">
        <v>0.84</v>
      </c>
      <c r="G40" s="43">
        <f t="shared" si="13"/>
        <v>34.453444368349189</v>
      </c>
      <c r="H40" s="43">
        <f t="shared" si="14"/>
        <v>94.74440576967713</v>
      </c>
      <c r="I40" s="2">
        <f t="shared" si="15"/>
        <v>39.629222302934899</v>
      </c>
      <c r="J40" s="2">
        <f t="shared" si="16"/>
        <v>29.551505998758099</v>
      </c>
      <c r="K40" s="43">
        <f t="shared" si="17"/>
        <v>14.475231835313371</v>
      </c>
      <c r="L40" s="43">
        <f t="shared" si="18"/>
        <v>53.72247603517684</v>
      </c>
      <c r="M40" s="2">
        <f t="shared" si="19"/>
        <v>5.1495519290900855</v>
      </c>
      <c r="N40" s="2">
        <f t="shared" si="20"/>
        <v>3.8400202143798303</v>
      </c>
      <c r="O40" s="5">
        <f t="shared" si="21"/>
        <v>4709.4007909154243</v>
      </c>
      <c r="P40" s="3">
        <f t="shared" si="22"/>
        <v>0.42209442041722017</v>
      </c>
      <c r="Q40" s="2">
        <f t="shared" si="23"/>
        <v>3697.547122854849</v>
      </c>
      <c r="R40" s="5">
        <f t="shared" si="24"/>
        <v>12386.782861563745</v>
      </c>
    </row>
    <row r="41" spans="1:18" x14ac:dyDescent="0.25">
      <c r="A41" t="s">
        <v>246</v>
      </c>
      <c r="B41" s="7">
        <v>-250.2</v>
      </c>
      <c r="C41" s="7">
        <f t="shared" si="9"/>
        <v>24.199999999999989</v>
      </c>
      <c r="D41">
        <f t="shared" si="10"/>
        <v>1.1299999999999979</v>
      </c>
      <c r="E41">
        <v>901</v>
      </c>
      <c r="F41" s="11">
        <v>0.84</v>
      </c>
      <c r="G41" s="43">
        <f t="shared" si="13"/>
        <v>34.453444368349189</v>
      </c>
      <c r="H41" s="43">
        <f t="shared" si="14"/>
        <v>94.6313774255635</v>
      </c>
      <c r="I41" s="2">
        <f t="shared" si="15"/>
        <v>39.757865122345706</v>
      </c>
      <c r="J41" s="2">
        <f t="shared" si="16"/>
        <v>29.647434932726458</v>
      </c>
      <c r="K41" s="43">
        <f t="shared" si="17"/>
        <v>14.475231835313371</v>
      </c>
      <c r="L41" s="43">
        <f t="shared" si="18"/>
        <v>53.790960654490206</v>
      </c>
      <c r="M41" s="2">
        <f t="shared" si="19"/>
        <v>5.1790325752050634</v>
      </c>
      <c r="N41" s="2">
        <f t="shared" si="20"/>
        <v>3.8620039284142464</v>
      </c>
      <c r="O41" s="5">
        <f t="shared" si="21"/>
        <v>4736.3616178072325</v>
      </c>
      <c r="P41" s="3">
        <f t="shared" si="22"/>
        <v>0.42451086682008721</v>
      </c>
      <c r="Q41" s="2">
        <f t="shared" si="23"/>
        <v>3718.7151933439641</v>
      </c>
      <c r="R41" s="5">
        <f t="shared" si="24"/>
        <v>12457.69589770228</v>
      </c>
    </row>
    <row r="42" spans="1:18" x14ac:dyDescent="0.25">
      <c r="A42" t="s">
        <v>247</v>
      </c>
      <c r="B42" s="7">
        <v>-250.4</v>
      </c>
      <c r="C42" s="7">
        <f t="shared" si="9"/>
        <v>24.400000000000006</v>
      </c>
      <c r="D42">
        <f t="shared" si="10"/>
        <v>1.1349999999999978</v>
      </c>
      <c r="E42">
        <v>901</v>
      </c>
      <c r="F42" s="11">
        <v>0.84</v>
      </c>
      <c r="G42" s="43">
        <f t="shared" si="13"/>
        <v>34.453444368349189</v>
      </c>
      <c r="H42" s="43">
        <f t="shared" si="14"/>
        <v>94.521107040428888</v>
      </c>
      <c r="I42" s="2">
        <f t="shared" si="15"/>
        <v>39.887251541868729</v>
      </c>
      <c r="J42" s="2">
        <f t="shared" si="16"/>
        <v>29.743918369203314</v>
      </c>
      <c r="K42" s="43">
        <f t="shared" si="17"/>
        <v>14.475231835313371</v>
      </c>
      <c r="L42" s="43">
        <f t="shared" si="18"/>
        <v>53.86060399962463</v>
      </c>
      <c r="M42" s="2">
        <f t="shared" si="19"/>
        <v>5.2086836296790899</v>
      </c>
      <c r="N42" s="2">
        <f t="shared" si="20"/>
        <v>3.8841147159401932</v>
      </c>
      <c r="O42" s="5">
        <f t="shared" si="21"/>
        <v>4763.4782876290537</v>
      </c>
      <c r="P42" s="3">
        <f t="shared" si="22"/>
        <v>0.42694128112123692</v>
      </c>
      <c r="Q42" s="2">
        <f t="shared" si="23"/>
        <v>3740.0056226220354</v>
      </c>
      <c r="R42" s="5">
        <f t="shared" si="24"/>
        <v>12529.01883578382</v>
      </c>
    </row>
    <row r="43" spans="1:18" x14ac:dyDescent="0.25">
      <c r="A43" t="s">
        <v>248</v>
      </c>
      <c r="B43" s="7">
        <v>-250.6</v>
      </c>
      <c r="C43" s="7">
        <f t="shared" si="9"/>
        <v>24.599999999999994</v>
      </c>
      <c r="D43">
        <f t="shared" si="10"/>
        <v>1.1399999999999977</v>
      </c>
      <c r="E43">
        <v>901</v>
      </c>
      <c r="F43" s="11">
        <v>0.84</v>
      </c>
      <c r="G43" s="43">
        <f t="shared" si="13"/>
        <v>34.453444368349189</v>
      </c>
      <c r="H43" s="43">
        <f t="shared" si="14"/>
        <v>94.413558325339281</v>
      </c>
      <c r="I43" s="2">
        <f t="shared" si="15"/>
        <v>40.017381561503946</v>
      </c>
      <c r="J43" s="2">
        <f t="shared" si="16"/>
        <v>29.840956308188655</v>
      </c>
      <c r="K43" s="43">
        <f t="shared" si="17"/>
        <v>14.475231835313371</v>
      </c>
      <c r="L43" s="43">
        <f t="shared" si="18"/>
        <v>53.931390824187673</v>
      </c>
      <c r="M43" s="2">
        <f t="shared" si="19"/>
        <v>5.2385050925121606</v>
      </c>
      <c r="N43" s="2">
        <f t="shared" si="20"/>
        <v>3.9063525769576661</v>
      </c>
      <c r="O43" s="5">
        <f t="shared" si="21"/>
        <v>4790.7508003808825</v>
      </c>
      <c r="P43" s="3">
        <f t="shared" si="22"/>
        <v>0.42938566332066896</v>
      </c>
      <c r="Q43" s="2">
        <f t="shared" si="23"/>
        <v>3761.4184106890602</v>
      </c>
      <c r="R43" s="5">
        <f t="shared" si="24"/>
        <v>12600.751675808353</v>
      </c>
    </row>
    <row r="44" spans="1:18" x14ac:dyDescent="0.25">
      <c r="A44" t="s">
        <v>249</v>
      </c>
      <c r="B44" s="7">
        <v>-250.7</v>
      </c>
      <c r="C44" s="7">
        <f t="shared" si="9"/>
        <v>24.699999999999989</v>
      </c>
      <c r="D44">
        <f t="shared" si="10"/>
        <v>1.1449999999999976</v>
      </c>
      <c r="E44">
        <v>901</v>
      </c>
      <c r="F44" s="11">
        <v>0.84</v>
      </c>
      <c r="G44" s="43">
        <f t="shared" si="13"/>
        <v>34.453444368349189</v>
      </c>
      <c r="H44" s="43">
        <f t="shared" si="14"/>
        <v>94.208695625228629</v>
      </c>
      <c r="I44" s="2">
        <f t="shared" si="15"/>
        <v>40.105684074827842</v>
      </c>
      <c r="J44" s="2">
        <f t="shared" si="16"/>
        <v>29.906803481071563</v>
      </c>
      <c r="K44" s="43">
        <f t="shared" si="17"/>
        <v>14.475231835313371</v>
      </c>
      <c r="L44" s="43">
        <f t="shared" si="18"/>
        <v>53.903306148099517</v>
      </c>
      <c r="M44" s="2">
        <f t="shared" si="19"/>
        <v>5.2587410851488858</v>
      </c>
      <c r="N44" s="2">
        <f t="shared" si="20"/>
        <v>3.9214425540766658</v>
      </c>
      <c r="O44" s="5">
        <f t="shared" si="21"/>
        <v>4809.2571483196234</v>
      </c>
      <c r="P44" s="3">
        <f t="shared" si="22"/>
        <v>0.43104435124171198</v>
      </c>
      <c r="Q44" s="2">
        <f t="shared" si="23"/>
        <v>3775.9485168773972</v>
      </c>
      <c r="R44" s="5">
        <f t="shared" si="24"/>
        <v>12649.427531539281</v>
      </c>
    </row>
    <row r="45" spans="1:18" x14ac:dyDescent="0.25">
      <c r="A45" t="s">
        <v>250</v>
      </c>
      <c r="B45" s="7">
        <v>-250.9</v>
      </c>
      <c r="C45" s="7">
        <f t="shared" si="9"/>
        <v>24.900000000000006</v>
      </c>
      <c r="D45">
        <f t="shared" si="10"/>
        <v>1.1499999999999975</v>
      </c>
      <c r="E45">
        <v>901</v>
      </c>
      <c r="F45" s="11">
        <v>0.84</v>
      </c>
      <c r="G45" s="43">
        <f t="shared" si="13"/>
        <v>34.453444368349189</v>
      </c>
      <c r="H45" s="43">
        <f t="shared" si="14"/>
        <v>94.106483905118964</v>
      </c>
      <c r="I45" s="2">
        <f t="shared" si="15"/>
        <v>40.237115394659419</v>
      </c>
      <c r="J45" s="2">
        <f t="shared" si="16"/>
        <v>30.00481179944676</v>
      </c>
      <c r="K45" s="43">
        <f t="shared" si="17"/>
        <v>14.475231835313371</v>
      </c>
      <c r="L45" s="43">
        <f t="shared" si="18"/>
        <v>53.976335251803448</v>
      </c>
      <c r="M45" s="2">
        <f t="shared" si="19"/>
        <v>5.2888607626102893</v>
      </c>
      <c r="N45" s="2">
        <f t="shared" si="20"/>
        <v>3.9439027937043152</v>
      </c>
      <c r="O45" s="5">
        <f t="shared" si="21"/>
        <v>4836.8023861989732</v>
      </c>
      <c r="P45" s="3">
        <f t="shared" si="22"/>
        <v>0.43351317726313848</v>
      </c>
      <c r="Q45" s="2">
        <f t="shared" si="23"/>
        <v>3797.5754328250932</v>
      </c>
      <c r="R45" s="5">
        <f t="shared" si="24"/>
        <v>12721.877699964063</v>
      </c>
    </row>
    <row r="46" spans="1:18" x14ac:dyDescent="0.25">
      <c r="A46" t="s">
        <v>251</v>
      </c>
      <c r="B46" s="7">
        <v>-251</v>
      </c>
      <c r="C46" s="7">
        <f t="shared" si="9"/>
        <v>25</v>
      </c>
      <c r="D46">
        <f t="shared" si="10"/>
        <v>1.1549999999999974</v>
      </c>
      <c r="E46">
        <v>901</v>
      </c>
      <c r="F46" s="11">
        <v>0.84</v>
      </c>
      <c r="G46" s="43">
        <f t="shared" si="13"/>
        <v>34.453444368349189</v>
      </c>
      <c r="H46" s="43">
        <f t="shared" si="14"/>
        <v>93.906888736698534</v>
      </c>
      <c r="I46" s="2">
        <f t="shared" si="15"/>
        <v>40.32634740812356</v>
      </c>
      <c r="J46" s="2">
        <f t="shared" si="16"/>
        <v>30.071352100465273</v>
      </c>
      <c r="K46" s="43">
        <f t="shared" si="17"/>
        <v>14.475231835313371</v>
      </c>
      <c r="L46" s="43">
        <f t="shared" si="18"/>
        <v>53.95046367062681</v>
      </c>
      <c r="M46" s="2">
        <f t="shared" si="19"/>
        <v>5.3093097656958239</v>
      </c>
      <c r="N46" s="2">
        <f t="shared" si="20"/>
        <v>3.9591516126877258</v>
      </c>
      <c r="O46" s="5">
        <f t="shared" si="21"/>
        <v>4855.5035378002267</v>
      </c>
      <c r="P46" s="3">
        <f t="shared" si="22"/>
        <v>0.43518932505703478</v>
      </c>
      <c r="Q46" s="2">
        <f t="shared" si="23"/>
        <v>3812.2584874996242</v>
      </c>
      <c r="R46" s="5">
        <f t="shared" si="24"/>
        <v>12771.065933123742</v>
      </c>
    </row>
    <row r="47" spans="1:18" x14ac:dyDescent="0.25">
      <c r="A47" t="s">
        <v>252</v>
      </c>
      <c r="B47" s="7">
        <v>-251.1</v>
      </c>
      <c r="C47" s="7">
        <f t="shared" si="9"/>
        <v>25.099999999999994</v>
      </c>
      <c r="D47">
        <f t="shared" si="10"/>
        <v>1.1599999999999973</v>
      </c>
      <c r="E47">
        <v>901</v>
      </c>
      <c r="F47" s="11">
        <v>0.84</v>
      </c>
      <c r="G47" s="43">
        <f t="shared" si="13"/>
        <v>34.453444368349189</v>
      </c>
      <c r="H47" s="43">
        <f t="shared" si="14"/>
        <v>93.709876285247248</v>
      </c>
      <c r="I47" s="2">
        <f t="shared" si="15"/>
        <v>40.415951221643809</v>
      </c>
      <c r="J47" s="2">
        <f t="shared" si="16"/>
        <v>30.138169652738032</v>
      </c>
      <c r="K47" s="43">
        <f t="shared" si="17"/>
        <v>14.475231835313371</v>
      </c>
      <c r="L47" s="43">
        <f t="shared" si="18"/>
        <v>53.925677189287896</v>
      </c>
      <c r="M47" s="2">
        <f t="shared" si="19"/>
        <v>5.3298439729608802</v>
      </c>
      <c r="N47" s="2">
        <f t="shared" si="20"/>
        <v>3.9744639684169001</v>
      </c>
      <c r="O47" s="5">
        <f t="shared" si="21"/>
        <v>4874.2826108664858</v>
      </c>
      <c r="P47" s="3">
        <f t="shared" si="22"/>
        <v>0.4368724568000722</v>
      </c>
      <c r="Q47" s="2">
        <f t="shared" si="23"/>
        <v>3827.0027215686328</v>
      </c>
      <c r="R47" s="5">
        <f t="shared" si="24"/>
        <v>12820.459117254921</v>
      </c>
    </row>
    <row r="48" spans="1:18" x14ac:dyDescent="0.25">
      <c r="A48" t="s">
        <v>253</v>
      </c>
      <c r="B48" s="7">
        <v>-251.2</v>
      </c>
      <c r="C48" s="7">
        <f t="shared" si="9"/>
        <v>25.199999999999989</v>
      </c>
      <c r="D48">
        <f t="shared" si="10"/>
        <v>1.1649999999999971</v>
      </c>
      <c r="E48">
        <v>901</v>
      </c>
      <c r="F48" s="11">
        <v>0.84</v>
      </c>
      <c r="G48" s="43">
        <f t="shared" si="13"/>
        <v>34.453444368349189</v>
      </c>
      <c r="H48" s="43">
        <f t="shared" si="14"/>
        <v>93.515413296898544</v>
      </c>
      <c r="I48" s="2">
        <f t="shared" si="15"/>
        <v>40.505926835220166</v>
      </c>
      <c r="J48" s="2">
        <f t="shared" si="16"/>
        <v>30.205264456265041</v>
      </c>
      <c r="K48" s="43">
        <f t="shared" si="17"/>
        <v>14.475231835313371</v>
      </c>
      <c r="L48" s="43">
        <f t="shared" si="18"/>
        <v>53.901961836544167</v>
      </c>
      <c r="M48" s="2">
        <f t="shared" si="19"/>
        <v>5.3504633844054599</v>
      </c>
      <c r="N48" s="2">
        <f t="shared" si="20"/>
        <v>3.9898398608918382</v>
      </c>
      <c r="O48" s="5">
        <f t="shared" si="21"/>
        <v>4893.1396053977505</v>
      </c>
      <c r="P48" s="3">
        <f t="shared" si="22"/>
        <v>0.43856257249225084</v>
      </c>
      <c r="Q48" s="2">
        <f t="shared" si="23"/>
        <v>3841.8081350321172</v>
      </c>
      <c r="R48" s="5">
        <f t="shared" si="24"/>
        <v>12870.057252357594</v>
      </c>
    </row>
  </sheetData>
  <printOptions gridLines="1"/>
  <pageMargins left="0.7" right="0.7" top="0.75" bottom="0.75" header="0.3" footer="0.3"/>
  <pageSetup scale="54" fitToHeight="0" orientation="landscape" r:id="rId1"/>
  <headerFooter>
    <oddHeader xml:space="preserve">&amp;LDesert Shores Water Use and Pumping Estimates&amp;CScenario without freshwater blending&amp;R©2018 Sephton Water Technology, Inc.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West Shores Lakes Summary</vt:lpstr>
      <vt:lpstr>West Shores Lakes Timeline</vt:lpstr>
      <vt:lpstr>West Shores Lakes Permits</vt:lpstr>
      <vt:lpstr>West Shore Lakes Berm Estimates</vt:lpstr>
      <vt:lpstr>West Shore Lakes Water Estimate</vt:lpstr>
      <vt:lpstr>West Shore Lakes Pump Estimates</vt:lpstr>
      <vt:lpstr>West Shores Channel Estimates</vt:lpstr>
      <vt:lpstr>Desert Shores Channel Estimates</vt:lpstr>
      <vt:lpstr>'Desert Shores Channel Estimates'!Print_Area</vt:lpstr>
      <vt:lpstr>'West Shore Lakes Berm Estimates'!Print_Area</vt:lpstr>
      <vt:lpstr>'West Shore Lakes Pump Estimates'!Print_Area</vt:lpstr>
      <vt:lpstr>'West Shore Lakes Water Estimate'!Print_Area</vt:lpstr>
      <vt:lpstr>'West Shores Channel Estimates'!Print_Area</vt:lpstr>
      <vt:lpstr>'West Shores Lakes Permits'!Print_Area</vt:lpstr>
      <vt:lpstr>'West Shores Lakes Timeline'!Print_Area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Sephton</dc:creator>
  <cp:lastModifiedBy>Tom Sephton</cp:lastModifiedBy>
  <cp:lastPrinted>2022-04-03T03:19:03Z</cp:lastPrinted>
  <dcterms:created xsi:type="dcterms:W3CDTF">2016-08-30T20:49:05Z</dcterms:created>
  <dcterms:modified xsi:type="dcterms:W3CDTF">2022-04-03T03:28:31Z</dcterms:modified>
</cp:coreProperties>
</file>