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2\SaltonSeaWaterRecyclingProject\"/>
    </mc:Choice>
  </mc:AlternateContent>
  <bookViews>
    <workbookView xWindow="0" yWindow="0" windowWidth="20490" windowHeight="7755" tabRatio="819"/>
  </bookViews>
  <sheets>
    <sheet name="Financial and Impact Charts" sheetId="40" r:id="rId1"/>
    <sheet name="Annual Cost &amp; Revenue 20 MGD US" sheetId="60" r:id="rId2"/>
    <sheet name="Annual Cost &amp; Revenue, Schedule" sheetId="61" r:id="rId3"/>
    <sheet name="Management Team Cost" sheetId="3" r:id="rId4"/>
    <sheet name="Engineering Team Cost" sheetId="4" r:id="rId5"/>
    <sheet name="Energy Cost Rates" sheetId="6" r:id="rId6"/>
    <sheet name="Levellized Salt Refinery Plant " sheetId="7" r:id="rId7"/>
    <sheet name="Levellized Salt Sep Plant" sheetId="8" r:id="rId8"/>
    <sheet name="20MGD 60 Effect Levellized VTE" sheetId="53" r:id="rId9"/>
    <sheet name="20MGD 60Effect VTE Capital Cost" sheetId="54" r:id="rId10"/>
    <sheet name="20MGD 60Effect VTE Excavation" sheetId="55" r:id="rId11"/>
    <sheet name="20MGD 60Effect Pump Specs" sheetId="56" r:id="rId12"/>
    <sheet name="20MGD 60Effect Evaporator Cost" sheetId="57" r:id="rId13"/>
    <sheet name="20MGD Adjacent Tube Bundle" sheetId="58" r:id="rId14"/>
    <sheet name="20 MGD Stacked Tube Bundle" sheetId="59" r:id="rId15"/>
    <sheet name="5MGD 15 Effect Levellized VTE" sheetId="19" r:id="rId16"/>
    <sheet name="5MGD 15 Effect VTE Capital Cost" sheetId="20" r:id="rId17"/>
    <sheet name="5 MGD 15 Effect VTE Excavation " sheetId="21" r:id="rId18"/>
    <sheet name="5MGD 15 Effect Pump Specs kW" sheetId="22" r:id="rId19"/>
    <sheet name="5MGD 15 Effect Evaporator Costs" sheetId="23" r:id="rId20"/>
    <sheet name="5 MGD Adjacent Tube Bundle Spec" sheetId="25" r:id="rId21"/>
    <sheet name="10 MGD Stacked Tube Bundle Spec" sheetId="26" r:id="rId22"/>
    <sheet name="Salt Evaporation Pond Costs" sheetId="27" r:id="rId23"/>
    <sheet name="IID Cost Basis 2013" sheetId="30" r:id="rId24"/>
  </sheets>
  <definedNames>
    <definedName name="_xlnm.Print_Area" localSheetId="14">'20 MGD Stacked Tube Bundle'!$A$1:$C$30</definedName>
    <definedName name="_xlnm.Print_Area" localSheetId="8">'20MGD 60 Effect Levellized VTE'!$A$1:$C$44</definedName>
    <definedName name="_xlnm.Print_Area" localSheetId="12">'20MGD 60Effect Evaporator Cost'!$A$1:$I$30</definedName>
    <definedName name="_xlnm.Print_Area" localSheetId="11">'20MGD 60Effect Pump Specs'!$A$1:$H$17</definedName>
    <definedName name="_xlnm.Print_Area" localSheetId="9">'20MGD 60Effect VTE Capital Cost'!$A$1:$B$33</definedName>
    <definedName name="_xlnm.Print_Area" localSheetId="19">'5MGD 15 Effect Evaporator Costs'!$A$1:$H$30</definedName>
    <definedName name="_xlnm.Print_Area" localSheetId="15">'5MGD 15 Effect Levellized VTE'!$A$1:$C$35</definedName>
    <definedName name="_xlnm.Print_Area" localSheetId="18">'5MGD 15 Effect Pump Specs kW'!$A$1:$H$17</definedName>
    <definedName name="_xlnm.Print_Area" localSheetId="16">'5MGD 15 Effect VTE Capital Cost'!$A$1:$B$33</definedName>
    <definedName name="_xlnm.Print_Area" localSheetId="6">'Levellized Salt Refinery Plant '!$A$1:$D$60</definedName>
    <definedName name="_xlnm.Print_Area" localSheetId="7">'Levellized Salt Sep Plant'!$A$3:$J$47</definedName>
    <definedName name="_xlnm.Print_Area" localSheetId="22">'Salt Evaporation Pond Costs'!$A$1:$C$62</definedName>
  </definedNames>
  <calcPr calcId="152511"/>
</workbook>
</file>

<file path=xl/calcChain.xml><?xml version="1.0" encoding="utf-8"?>
<calcChain xmlns="http://schemas.openxmlformats.org/spreadsheetml/2006/main">
  <c r="AJ43" i="60" l="1"/>
  <c r="AK43" i="60" s="1"/>
  <c r="AI43" i="60"/>
  <c r="AI48" i="60" s="1"/>
  <c r="AH43" i="60"/>
  <c r="AG43" i="60"/>
  <c r="AG48" i="60" s="1"/>
  <c r="AF43" i="60"/>
  <c r="AF48" i="60" s="1"/>
  <c r="AE43" i="60"/>
  <c r="AE46" i="60" s="1"/>
  <c r="AD43" i="60"/>
  <c r="AC43" i="60"/>
  <c r="AB43" i="60"/>
  <c r="AA43" i="60"/>
  <c r="AA48" i="60" s="1"/>
  <c r="Z43" i="60"/>
  <c r="Z45" i="60" s="1"/>
  <c r="Y43" i="60"/>
  <c r="Y48" i="60" s="1"/>
  <c r="X43" i="60"/>
  <c r="W43" i="60"/>
  <c r="W48" i="60" s="1"/>
  <c r="V43" i="60"/>
  <c r="V46" i="60" s="1"/>
  <c r="U43" i="60"/>
  <c r="U48" i="60" s="1"/>
  <c r="T43" i="60"/>
  <c r="S43" i="60"/>
  <c r="R43" i="60"/>
  <c r="Q43" i="60"/>
  <c r="Q48" i="60" s="1"/>
  <c r="P43" i="60"/>
  <c r="P48" i="60" s="1"/>
  <c r="O43" i="60"/>
  <c r="O46" i="60" s="1"/>
  <c r="N43" i="60"/>
  <c r="M43" i="60"/>
  <c r="L43" i="60"/>
  <c r="L48" i="60" s="1"/>
  <c r="K43" i="60"/>
  <c r="K45" i="60" s="1"/>
  <c r="J43" i="60"/>
  <c r="J45" i="60" s="1"/>
  <c r="I43" i="60"/>
  <c r="H43" i="60"/>
  <c r="H48" i="60" s="1"/>
  <c r="G43" i="60"/>
  <c r="G46" i="60" s="1"/>
  <c r="F43" i="60"/>
  <c r="F48" i="60" s="1"/>
  <c r="E43" i="60"/>
  <c r="E46" i="60" s="1"/>
  <c r="D43" i="60"/>
  <c r="D48" i="60" s="1"/>
  <c r="C43" i="60"/>
  <c r="C48" i="60" s="1"/>
  <c r="V48" i="60"/>
  <c r="C46" i="60"/>
  <c r="AB48" i="60"/>
  <c r="AA45" i="60"/>
  <c r="X45" i="60"/>
  <c r="W45" i="60"/>
  <c r="T48" i="60"/>
  <c r="S48" i="60"/>
  <c r="BH41" i="60"/>
  <c r="BG41" i="60"/>
  <c r="BF41" i="60"/>
  <c r="BE41" i="60"/>
  <c r="BD41" i="60"/>
  <c r="BC41" i="60"/>
  <c r="BB41" i="60"/>
  <c r="BA41" i="60"/>
  <c r="AZ41" i="60"/>
  <c r="AY41" i="60"/>
  <c r="AX41" i="60"/>
  <c r="AW41" i="60"/>
  <c r="AV41" i="60"/>
  <c r="AU41" i="60"/>
  <c r="AT41" i="60"/>
  <c r="AS41" i="60"/>
  <c r="AR41" i="60"/>
  <c r="AQ41" i="60"/>
  <c r="AP41" i="60"/>
  <c r="AO41" i="60"/>
  <c r="AN41" i="60"/>
  <c r="AM41" i="60"/>
  <c r="J48" i="60" l="1"/>
  <c r="Z46" i="60"/>
  <c r="K46" i="60"/>
  <c r="G48" i="60"/>
  <c r="AL43" i="60"/>
  <c r="AL48" i="60" s="1"/>
  <c r="AK46" i="60"/>
  <c r="O45" i="60"/>
  <c r="K48" i="60"/>
  <c r="AE45" i="60"/>
  <c r="AJ48" i="60"/>
  <c r="G45" i="60"/>
  <c r="W46" i="60"/>
  <c r="E45" i="60"/>
  <c r="AB46" i="60"/>
  <c r="E48" i="60"/>
  <c r="T46" i="60"/>
  <c r="L45" i="60"/>
  <c r="AB45" i="60"/>
  <c r="AF46" i="60"/>
  <c r="P45" i="60"/>
  <c r="AF45" i="60"/>
  <c r="L46" i="60"/>
  <c r="AA46" i="60"/>
  <c r="AJ46" i="60"/>
  <c r="O48" i="60"/>
  <c r="AE48" i="60"/>
  <c r="M46" i="60"/>
  <c r="M48" i="60"/>
  <c r="AC46" i="60"/>
  <c r="AC48" i="60"/>
  <c r="I48" i="60"/>
  <c r="I46" i="60"/>
  <c r="U45" i="60"/>
  <c r="AK45" i="60"/>
  <c r="F46" i="60"/>
  <c r="Q46" i="60"/>
  <c r="Y46" i="60"/>
  <c r="N46" i="60"/>
  <c r="N48" i="60"/>
  <c r="R46" i="60"/>
  <c r="R48" i="60"/>
  <c r="AD46" i="60"/>
  <c r="AD48" i="60"/>
  <c r="AH46" i="60"/>
  <c r="AH48" i="60"/>
  <c r="F45" i="60"/>
  <c r="Q45" i="60"/>
  <c r="V45" i="60"/>
  <c r="AG45" i="60"/>
  <c r="AG46" i="60"/>
  <c r="H45" i="60"/>
  <c r="M45" i="60"/>
  <c r="R45" i="60"/>
  <c r="AC45" i="60"/>
  <c r="AH45" i="60"/>
  <c r="H46" i="60"/>
  <c r="U46" i="60"/>
  <c r="Z48" i="60"/>
  <c r="AK48" i="60"/>
  <c r="X48" i="60"/>
  <c r="X46" i="60"/>
  <c r="D45" i="60"/>
  <c r="I45" i="60"/>
  <c r="N45" i="60"/>
  <c r="T45" i="60"/>
  <c r="Y45" i="60"/>
  <c r="AD45" i="60"/>
  <c r="AJ45" i="60"/>
  <c r="D46" i="60"/>
  <c r="J46" i="60"/>
  <c r="P46" i="60"/>
  <c r="C45" i="60"/>
  <c r="S45" i="60"/>
  <c r="AI45" i="60"/>
  <c r="S46" i="60"/>
  <c r="AI46" i="60"/>
  <c r="W42" i="60"/>
  <c r="C42" i="60"/>
  <c r="K42" i="60"/>
  <c r="AE42" i="60"/>
  <c r="AF42" i="60"/>
  <c r="AI42" i="60"/>
  <c r="G42" i="60"/>
  <c r="AA42" i="60"/>
  <c r="L42" i="60"/>
  <c r="O42" i="60"/>
  <c r="E42" i="60"/>
  <c r="X42" i="60"/>
  <c r="P42" i="60"/>
  <c r="S42" i="60"/>
  <c r="H42" i="60"/>
  <c r="M42" i="60"/>
  <c r="T42" i="60"/>
  <c r="AB42" i="60"/>
  <c r="Q42" i="60"/>
  <c r="U42" i="60"/>
  <c r="Y42" i="60"/>
  <c r="AC42" i="60"/>
  <c r="AG42" i="60"/>
  <c r="I42" i="60"/>
  <c r="J42" i="60"/>
  <c r="N42" i="60"/>
  <c r="Z42" i="60"/>
  <c r="AD42" i="60"/>
  <c r="F42" i="60"/>
  <c r="R42" i="60"/>
  <c r="V42" i="60"/>
  <c r="AH42" i="60"/>
  <c r="AJ42" i="60" s="1"/>
  <c r="AH44" i="60" l="1"/>
  <c r="L44" i="60"/>
  <c r="AM43" i="60"/>
  <c r="AN43" i="60" s="1"/>
  <c r="AO43" i="60" s="1"/>
  <c r="AP43" i="60" s="1"/>
  <c r="AQ43" i="60" s="1"/>
  <c r="AR43" i="60" s="1"/>
  <c r="AS43" i="60" s="1"/>
  <c r="AT43" i="60" s="1"/>
  <c r="AU43" i="60" s="1"/>
  <c r="AV43" i="60" s="1"/>
  <c r="AW43" i="60" s="1"/>
  <c r="AX43" i="60" s="1"/>
  <c r="AY43" i="60" s="1"/>
  <c r="AZ43" i="60" s="1"/>
  <c r="BA43" i="60" s="1"/>
  <c r="BB43" i="60" s="1"/>
  <c r="BC43" i="60" s="1"/>
  <c r="BD43" i="60" s="1"/>
  <c r="BE43" i="60" s="1"/>
  <c r="BF43" i="60" s="1"/>
  <c r="BG43" i="60" s="1"/>
  <c r="BH43" i="60" s="1"/>
  <c r="AL46" i="60"/>
  <c r="AK42" i="60"/>
  <c r="AJ41" i="60" s="1"/>
  <c r="AL45" i="60"/>
  <c r="R44" i="60"/>
  <c r="N44" i="60"/>
  <c r="U44" i="60"/>
  <c r="F44" i="60"/>
  <c r="J44" i="60"/>
  <c r="AG44" i="60"/>
  <c r="AM46" i="60"/>
  <c r="T44" i="60"/>
  <c r="O41" i="60"/>
  <c r="P44" i="60"/>
  <c r="AE41" i="60"/>
  <c r="AF44" i="60"/>
  <c r="V41" i="60"/>
  <c r="W44" i="60"/>
  <c r="Q44" i="60"/>
  <c r="M44" i="60"/>
  <c r="W41" i="60"/>
  <c r="X44" i="60"/>
  <c r="Z41" i="60"/>
  <c r="AA44" i="60"/>
  <c r="AD41" i="60"/>
  <c r="AE44" i="60"/>
  <c r="AD44" i="60"/>
  <c r="I44" i="60"/>
  <c r="AC44" i="60"/>
  <c r="H44" i="60"/>
  <c r="D41" i="60"/>
  <c r="E44" i="60"/>
  <c r="F41" i="60"/>
  <c r="G44" i="60"/>
  <c r="J41" i="60"/>
  <c r="K44" i="60"/>
  <c r="V44" i="60"/>
  <c r="Z44" i="60"/>
  <c r="Y44" i="60"/>
  <c r="AB44" i="60"/>
  <c r="R41" i="60"/>
  <c r="S44" i="60"/>
  <c r="N41" i="60"/>
  <c r="O44" i="60"/>
  <c r="AH41" i="60"/>
  <c r="AI44" i="60"/>
  <c r="D42" i="60"/>
  <c r="D44" i="60" s="1"/>
  <c r="K41" i="60"/>
  <c r="E41" i="60"/>
  <c r="M41" i="60"/>
  <c r="X41" i="60"/>
  <c r="L41" i="60"/>
  <c r="AG41" i="60"/>
  <c r="I41" i="60"/>
  <c r="AF41" i="60"/>
  <c r="AB41" i="60"/>
  <c r="P41" i="60"/>
  <c r="AI41" i="60"/>
  <c r="G41" i="60"/>
  <c r="U41" i="60"/>
  <c r="AC41" i="60"/>
  <c r="T41" i="60"/>
  <c r="AA41" i="60"/>
  <c r="Q41" i="60"/>
  <c r="Y41" i="60"/>
  <c r="H41" i="60"/>
  <c r="S41" i="60"/>
  <c r="AL42" i="60" l="1"/>
  <c r="AM48" i="60"/>
  <c r="AM45" i="60"/>
  <c r="AJ44" i="60"/>
  <c r="AK44" i="60"/>
  <c r="C41" i="60"/>
  <c r="C44" i="60"/>
  <c r="AN48" i="60"/>
  <c r="AN46" i="60"/>
  <c r="AN45" i="60"/>
  <c r="AK41" i="60"/>
  <c r="AM42" i="60"/>
  <c r="AO48" i="60" l="1"/>
  <c r="AO45" i="60"/>
  <c r="AO46" i="60"/>
  <c r="AL44" i="60"/>
  <c r="AL41" i="60"/>
  <c r="AN42" i="60"/>
  <c r="AM44" i="60" s="1"/>
  <c r="AP46" i="60" l="1"/>
  <c r="AP48" i="60"/>
  <c r="AP45" i="60"/>
  <c r="AO42" i="60"/>
  <c r="AN44" i="60" s="1"/>
  <c r="AQ45" i="60" l="1"/>
  <c r="AQ46" i="60"/>
  <c r="AQ48" i="60"/>
  <c r="AP42" i="60"/>
  <c r="AO44" i="60" s="1"/>
  <c r="AR48" i="60" l="1"/>
  <c r="AR46" i="60"/>
  <c r="AR45" i="60"/>
  <c r="AQ42" i="60"/>
  <c r="AP44" i="60" s="1"/>
  <c r="AS46" i="60" l="1"/>
  <c r="AS48" i="60"/>
  <c r="AS45" i="60"/>
  <c r="AR42" i="60"/>
  <c r="AQ44" i="60" s="1"/>
  <c r="AT46" i="60" l="1"/>
  <c r="AT48" i="60"/>
  <c r="AT45" i="60"/>
  <c r="AS42" i="60"/>
  <c r="AR44" i="60" s="1"/>
  <c r="AU45" i="60" l="1"/>
  <c r="AU48" i="60"/>
  <c r="AU46" i="60"/>
  <c r="AT42" i="60"/>
  <c r="AS44" i="60" s="1"/>
  <c r="AV48" i="60" l="1"/>
  <c r="AV46" i="60"/>
  <c r="AV45" i="60"/>
  <c r="AU42" i="60"/>
  <c r="AT44" i="60" s="1"/>
  <c r="AW48" i="60" l="1"/>
  <c r="AW46" i="60"/>
  <c r="AW45" i="60"/>
  <c r="AV42" i="60"/>
  <c r="AU44" i="60" l="1"/>
  <c r="AX46" i="60"/>
  <c r="AX48" i="60"/>
  <c r="AX45" i="60"/>
  <c r="AW42" i="60"/>
  <c r="AV44" i="60" s="1"/>
  <c r="AY48" i="60" l="1"/>
  <c r="AY46" i="60"/>
  <c r="AY45" i="60"/>
  <c r="AX42" i="60"/>
  <c r="AZ48" i="60" l="1"/>
  <c r="AZ46" i="60"/>
  <c r="AZ45" i="60"/>
  <c r="AW44" i="60"/>
  <c r="AY42" i="60"/>
  <c r="AX44" i="60" s="1"/>
  <c r="BA48" i="60" l="1"/>
  <c r="BA46" i="60"/>
  <c r="BA45" i="60"/>
  <c r="AZ42" i="60"/>
  <c r="AY44" i="60" s="1"/>
  <c r="BB46" i="60" l="1"/>
  <c r="BB48" i="60"/>
  <c r="BB45" i="60"/>
  <c r="BA42" i="60"/>
  <c r="AZ44" i="60" s="1"/>
  <c r="BC45" i="60" l="1"/>
  <c r="BC48" i="60"/>
  <c r="BC46" i="60"/>
  <c r="BB42" i="60"/>
  <c r="BD48" i="60" l="1"/>
  <c r="BD46" i="60"/>
  <c r="BD45" i="60"/>
  <c r="BA44" i="60"/>
  <c r="BC42" i="60"/>
  <c r="BB44" i="60" s="1"/>
  <c r="BE48" i="60" l="1"/>
  <c r="BE45" i="60"/>
  <c r="BE46" i="60"/>
  <c r="BD42" i="60"/>
  <c r="BC44" i="60" s="1"/>
  <c r="BF46" i="60" l="1"/>
  <c r="BF48" i="60"/>
  <c r="BF45" i="60"/>
  <c r="BE42" i="60"/>
  <c r="BG45" i="60" l="1"/>
  <c r="BG48" i="60"/>
  <c r="BG46" i="60"/>
  <c r="BD44" i="60"/>
  <c r="BF42" i="60"/>
  <c r="BE44" i="60" s="1"/>
  <c r="BH48" i="60" l="1"/>
  <c r="BH46" i="60"/>
  <c r="BH45" i="60"/>
  <c r="BI43" i="60"/>
  <c r="BH42" i="60" s="1"/>
  <c r="BH44" i="60" s="1"/>
  <c r="BG42" i="60"/>
  <c r="BG44" i="60" l="1"/>
  <c r="BF44" i="60"/>
  <c r="BH15" i="60" l="1"/>
  <c r="AL55" i="60"/>
  <c r="AK55" i="60"/>
  <c r="AK17" i="60" s="1"/>
  <c r="AK51" i="60" s="1"/>
  <c r="AK50" i="60" s="1"/>
  <c r="AK49" i="60" s="1"/>
  <c r="AJ55" i="60"/>
  <c r="AJ17" i="60" s="1"/>
  <c r="AJ51" i="60" s="1"/>
  <c r="AJ50" i="60" s="1"/>
  <c r="AJ49" i="60" s="1"/>
  <c r="AI55" i="60"/>
  <c r="AI17" i="60" s="1"/>
  <c r="AI51" i="60" s="1"/>
  <c r="AI50" i="60" s="1"/>
  <c r="AI49" i="60" s="1"/>
  <c r="AH55" i="60"/>
  <c r="AH17" i="60" s="1"/>
  <c r="AH51" i="60" s="1"/>
  <c r="AH50" i="60" s="1"/>
  <c r="AH49" i="60" s="1"/>
  <c r="AG55" i="60"/>
  <c r="AG17" i="60" s="1"/>
  <c r="AG51" i="60" s="1"/>
  <c r="AG50" i="60" s="1"/>
  <c r="AG49" i="60" s="1"/>
  <c r="AF55" i="60"/>
  <c r="AF17" i="60" s="1"/>
  <c r="AF51" i="60" s="1"/>
  <c r="AF50" i="60" s="1"/>
  <c r="AF49" i="60" s="1"/>
  <c r="AE55" i="60"/>
  <c r="AE17" i="60" s="1"/>
  <c r="AE51" i="60" s="1"/>
  <c r="AE50" i="60" s="1"/>
  <c r="AE49" i="60" s="1"/>
  <c r="AD55" i="60"/>
  <c r="AD17" i="60" s="1"/>
  <c r="AD51" i="60" s="1"/>
  <c r="AD50" i="60" s="1"/>
  <c r="AD49" i="60" s="1"/>
  <c r="AC55" i="60"/>
  <c r="AC17" i="60" s="1"/>
  <c r="AC51" i="60" s="1"/>
  <c r="AC50" i="60" s="1"/>
  <c r="AC49" i="60" s="1"/>
  <c r="AB55" i="60"/>
  <c r="AB17" i="60" s="1"/>
  <c r="AB51" i="60" s="1"/>
  <c r="AB50" i="60" s="1"/>
  <c r="AB49" i="60" s="1"/>
  <c r="AA55" i="60"/>
  <c r="AA17" i="60" s="1"/>
  <c r="AA51" i="60" s="1"/>
  <c r="AA50" i="60" s="1"/>
  <c r="AA49" i="60" s="1"/>
  <c r="Z55" i="60"/>
  <c r="Z17" i="60" s="1"/>
  <c r="Z51" i="60" s="1"/>
  <c r="Z50" i="60" s="1"/>
  <c r="Z49" i="60" s="1"/>
  <c r="Y55" i="60"/>
  <c r="Y17" i="60" s="1"/>
  <c r="Y51" i="60" s="1"/>
  <c r="Y50" i="60" s="1"/>
  <c r="Y49" i="60" s="1"/>
  <c r="X55" i="60"/>
  <c r="X17" i="60" s="1"/>
  <c r="X51" i="60" s="1"/>
  <c r="X50" i="60" s="1"/>
  <c r="X49" i="60" s="1"/>
  <c r="W55" i="60"/>
  <c r="W17" i="60" s="1"/>
  <c r="W51" i="60" s="1"/>
  <c r="W50" i="60" s="1"/>
  <c r="W49" i="60" s="1"/>
  <c r="V55" i="60"/>
  <c r="V17" i="60" s="1"/>
  <c r="V51" i="60" s="1"/>
  <c r="V50" i="60" s="1"/>
  <c r="V49" i="60" s="1"/>
  <c r="U55" i="60"/>
  <c r="U17" i="60" s="1"/>
  <c r="U51" i="60" s="1"/>
  <c r="U50" i="60" s="1"/>
  <c r="U49" i="60" s="1"/>
  <c r="T55" i="60"/>
  <c r="T17" i="60" s="1"/>
  <c r="T51" i="60" s="1"/>
  <c r="T50" i="60" s="1"/>
  <c r="T49" i="60" s="1"/>
  <c r="S55" i="60"/>
  <c r="S17" i="60" s="1"/>
  <c r="S51" i="60" s="1"/>
  <c r="S50" i="60" s="1"/>
  <c r="S49" i="60" s="1"/>
  <c r="R55" i="60"/>
  <c r="R17" i="60" s="1"/>
  <c r="R51" i="60" s="1"/>
  <c r="R50" i="60" s="1"/>
  <c r="R49" i="60" s="1"/>
  <c r="Q55" i="60"/>
  <c r="Q17" i="60" s="1"/>
  <c r="Q51" i="60" s="1"/>
  <c r="Q50" i="60" s="1"/>
  <c r="Q49" i="60" s="1"/>
  <c r="P55" i="60"/>
  <c r="P17" i="60" s="1"/>
  <c r="P51" i="60" s="1"/>
  <c r="P50" i="60" s="1"/>
  <c r="P49" i="60" s="1"/>
  <c r="O55" i="60"/>
  <c r="O17" i="60" s="1"/>
  <c r="O51" i="60" s="1"/>
  <c r="O50" i="60" s="1"/>
  <c r="O49" i="60" s="1"/>
  <c r="N55" i="60"/>
  <c r="N17" i="60" s="1"/>
  <c r="N51" i="60" s="1"/>
  <c r="N50" i="60" s="1"/>
  <c r="N49" i="60" s="1"/>
  <c r="M55" i="60"/>
  <c r="M17" i="60" s="1"/>
  <c r="M51" i="60" s="1"/>
  <c r="M50" i="60" s="1"/>
  <c r="M49" i="60" s="1"/>
  <c r="L55" i="60"/>
  <c r="L17" i="60" s="1"/>
  <c r="L51" i="60" s="1"/>
  <c r="L50" i="60" s="1"/>
  <c r="L49" i="60" s="1"/>
  <c r="K55" i="60"/>
  <c r="K17" i="60" s="1"/>
  <c r="K51" i="60" s="1"/>
  <c r="K50" i="60" s="1"/>
  <c r="K49" i="60" s="1"/>
  <c r="J55" i="60"/>
  <c r="J17" i="60" s="1"/>
  <c r="J51" i="60" s="1"/>
  <c r="J50" i="60" s="1"/>
  <c r="J49" i="60" s="1"/>
  <c r="I55" i="60"/>
  <c r="I17" i="60" s="1"/>
  <c r="I51" i="60" s="1"/>
  <c r="I50" i="60" s="1"/>
  <c r="I49" i="60" s="1"/>
  <c r="H55" i="60"/>
  <c r="H17" i="60" s="1"/>
  <c r="H51" i="60" s="1"/>
  <c r="G55" i="60"/>
  <c r="G17" i="60" s="1"/>
  <c r="G51" i="60" s="1"/>
  <c r="F55" i="60"/>
  <c r="F17" i="60" s="1"/>
  <c r="F51" i="60" s="1"/>
  <c r="E55" i="60"/>
  <c r="E17" i="60" s="1"/>
  <c r="E51" i="60" s="1"/>
  <c r="D55" i="60"/>
  <c r="D17" i="60" s="1"/>
  <c r="D51" i="60" s="1"/>
  <c r="C55" i="60"/>
  <c r="C17" i="60" s="1"/>
  <c r="C51" i="60" s="1"/>
  <c r="D54" i="60" l="1"/>
  <c r="L54" i="60"/>
  <c r="T54" i="60"/>
  <c r="AB54" i="60"/>
  <c r="AJ54" i="60"/>
  <c r="H16" i="60"/>
  <c r="P16" i="60"/>
  <c r="X16" i="60"/>
  <c r="AF16" i="60"/>
  <c r="I54" i="60"/>
  <c r="Q54" i="60"/>
  <c r="Y54" i="60"/>
  <c r="AG54" i="60"/>
  <c r="I16" i="60"/>
  <c r="M16" i="60"/>
  <c r="Q16" i="60"/>
  <c r="U16" i="60"/>
  <c r="Y16" i="60"/>
  <c r="AC16" i="60"/>
  <c r="AG16" i="60"/>
  <c r="AM55" i="60"/>
  <c r="AL17" i="60"/>
  <c r="F54" i="60"/>
  <c r="J54" i="60"/>
  <c r="N54" i="60"/>
  <c r="R54" i="60"/>
  <c r="V54" i="60"/>
  <c r="Z54" i="60"/>
  <c r="AD54" i="60"/>
  <c r="AH54" i="60"/>
  <c r="F16" i="60"/>
  <c r="J16" i="60"/>
  <c r="N16" i="60"/>
  <c r="R16" i="60"/>
  <c r="V16" i="60"/>
  <c r="Z16" i="60"/>
  <c r="AD16" i="60"/>
  <c r="AH16" i="60"/>
  <c r="H54" i="60"/>
  <c r="P54" i="60"/>
  <c r="X54" i="60"/>
  <c r="AF54" i="60"/>
  <c r="D16" i="60"/>
  <c r="L16" i="60"/>
  <c r="T16" i="60"/>
  <c r="AB16" i="60"/>
  <c r="AJ16" i="60"/>
  <c r="E54" i="60"/>
  <c r="M54" i="60"/>
  <c r="U54" i="60"/>
  <c r="AC54" i="60"/>
  <c r="AK54" i="60"/>
  <c r="E16" i="60"/>
  <c r="C54" i="60"/>
  <c r="G54" i="60"/>
  <c r="K54" i="60"/>
  <c r="O54" i="60"/>
  <c r="S54" i="60"/>
  <c r="W54" i="60"/>
  <c r="AA54" i="60"/>
  <c r="AE54" i="60"/>
  <c r="AI54" i="60"/>
  <c r="C16" i="60"/>
  <c r="G16" i="60"/>
  <c r="K16" i="60"/>
  <c r="O16" i="60"/>
  <c r="S16" i="60"/>
  <c r="W16" i="60"/>
  <c r="AA16" i="60"/>
  <c r="AE16" i="60"/>
  <c r="AI16" i="60"/>
  <c r="C41" i="8"/>
  <c r="AL51" i="60" l="1"/>
  <c r="AL50" i="60" s="1"/>
  <c r="AL49" i="60" s="1"/>
  <c r="AK16" i="60"/>
  <c r="AJ15" i="60" s="1"/>
  <c r="AN55" i="60"/>
  <c r="AM17" i="60"/>
  <c r="AL54" i="60"/>
  <c r="I39" i="8"/>
  <c r="F39" i="8"/>
  <c r="C39" i="8"/>
  <c r="AM51" i="60" l="1"/>
  <c r="AM50" i="60" s="1"/>
  <c r="AM49" i="60" s="1"/>
  <c r="AL16" i="60"/>
  <c r="AK15" i="60" s="1"/>
  <c r="AO55" i="60"/>
  <c r="AN17" i="60"/>
  <c r="AM54" i="60"/>
  <c r="C71" i="60"/>
  <c r="C74" i="60" s="1"/>
  <c r="BH69" i="60"/>
  <c r="AP55" i="60" l="1"/>
  <c r="AO17" i="60"/>
  <c r="AN51" i="60"/>
  <c r="AN50" i="60" s="1"/>
  <c r="AN49" i="60" s="1"/>
  <c r="AM16" i="60"/>
  <c r="AL15" i="60" s="1"/>
  <c r="AN54" i="60"/>
  <c r="F22" i="53"/>
  <c r="AO51" i="60" l="1"/>
  <c r="AO50" i="60" s="1"/>
  <c r="AO49" i="60" s="1"/>
  <c r="AN16" i="60"/>
  <c r="AM15" i="60" s="1"/>
  <c r="AQ55" i="60"/>
  <c r="AP17" i="60"/>
  <c r="AO54" i="60"/>
  <c r="C77" i="60"/>
  <c r="AP51" i="60" l="1"/>
  <c r="AP50" i="60" s="1"/>
  <c r="AP49" i="60" s="1"/>
  <c r="AO16" i="60"/>
  <c r="AN15" i="60" s="1"/>
  <c r="AR55" i="60"/>
  <c r="AQ17" i="60"/>
  <c r="AP54" i="60"/>
  <c r="C40" i="8"/>
  <c r="AQ51" i="60" l="1"/>
  <c r="AQ50" i="60" s="1"/>
  <c r="AQ49" i="60" s="1"/>
  <c r="AP16" i="60"/>
  <c r="AO15" i="60" s="1"/>
  <c r="AS55" i="60"/>
  <c r="AR17" i="60"/>
  <c r="AQ54" i="60"/>
  <c r="C63" i="60"/>
  <c r="C33" i="60" s="1"/>
  <c r="AR51" i="60" l="1"/>
  <c r="AR50" i="60" s="1"/>
  <c r="AR49" i="60" s="1"/>
  <c r="AQ16" i="60"/>
  <c r="AP15" i="60" s="1"/>
  <c r="AT55" i="60"/>
  <c r="AS17" i="60"/>
  <c r="AR54" i="60"/>
  <c r="BH156" i="61"/>
  <c r="BG156" i="61"/>
  <c r="BF156" i="61"/>
  <c r="BE156" i="61"/>
  <c r="BD156" i="61"/>
  <c r="BC156" i="61"/>
  <c r="BB156" i="61"/>
  <c r="BA156" i="61"/>
  <c r="AZ156" i="61"/>
  <c r="AY156" i="61"/>
  <c r="AX156" i="61"/>
  <c r="AW156" i="61"/>
  <c r="AV156" i="61"/>
  <c r="AU156" i="61"/>
  <c r="AT156" i="61"/>
  <c r="AS156" i="61"/>
  <c r="AR156" i="61"/>
  <c r="AQ156" i="61"/>
  <c r="AP156" i="61"/>
  <c r="AO156" i="61"/>
  <c r="AN156" i="61"/>
  <c r="AM156" i="61"/>
  <c r="AL156" i="61"/>
  <c r="AK156" i="61"/>
  <c r="AJ156" i="61"/>
  <c r="AI156" i="61"/>
  <c r="AH156" i="61"/>
  <c r="AG156" i="61"/>
  <c r="AF156" i="61"/>
  <c r="AE156" i="61"/>
  <c r="AD156" i="61"/>
  <c r="AC156" i="61"/>
  <c r="AB156" i="61"/>
  <c r="AA156" i="61"/>
  <c r="Z156" i="61"/>
  <c r="Y156" i="61"/>
  <c r="X156" i="61"/>
  <c r="W156" i="61"/>
  <c r="V156" i="61"/>
  <c r="U156" i="61"/>
  <c r="T156" i="61"/>
  <c r="S156" i="61"/>
  <c r="R156" i="61"/>
  <c r="Q156" i="61"/>
  <c r="P156" i="61"/>
  <c r="O156" i="61"/>
  <c r="N156" i="61"/>
  <c r="M156" i="61"/>
  <c r="L156" i="61"/>
  <c r="K156" i="61"/>
  <c r="J156" i="61"/>
  <c r="I156" i="61"/>
  <c r="H156" i="61"/>
  <c r="G156" i="61"/>
  <c r="F156" i="61"/>
  <c r="E156" i="61"/>
  <c r="D156" i="61"/>
  <c r="C156" i="61"/>
  <c r="BH152" i="61"/>
  <c r="BG152" i="61"/>
  <c r="BF152" i="61"/>
  <c r="BE152" i="61"/>
  <c r="BD152" i="61"/>
  <c r="BC152" i="61"/>
  <c r="BB152" i="61"/>
  <c r="BA152" i="61"/>
  <c r="AZ152" i="61"/>
  <c r="AY152" i="61"/>
  <c r="AX152" i="61"/>
  <c r="AW152" i="61"/>
  <c r="AV152" i="61"/>
  <c r="AU152" i="61"/>
  <c r="AT152" i="61"/>
  <c r="AS152" i="61"/>
  <c r="AR152" i="61"/>
  <c r="AQ152" i="61"/>
  <c r="AP152" i="61"/>
  <c r="AO152" i="61"/>
  <c r="AN152" i="61"/>
  <c r="AM152" i="61"/>
  <c r="AL152" i="61"/>
  <c r="AK152" i="61"/>
  <c r="AJ152" i="61"/>
  <c r="AI152" i="61"/>
  <c r="AH152" i="61"/>
  <c r="AG152" i="61"/>
  <c r="AF152" i="61"/>
  <c r="AE152" i="61"/>
  <c r="AD152" i="61"/>
  <c r="AC152" i="61"/>
  <c r="AB152" i="61"/>
  <c r="AA152" i="61"/>
  <c r="Z152" i="61"/>
  <c r="Y152" i="61"/>
  <c r="X152" i="61"/>
  <c r="W152" i="61"/>
  <c r="V152" i="61"/>
  <c r="U152" i="61"/>
  <c r="T152" i="61"/>
  <c r="S152" i="61"/>
  <c r="R152" i="61"/>
  <c r="Q152" i="61"/>
  <c r="P152" i="61"/>
  <c r="O152" i="61"/>
  <c r="N152" i="61"/>
  <c r="M152" i="61"/>
  <c r="L152" i="61"/>
  <c r="K152" i="61"/>
  <c r="J152" i="61"/>
  <c r="I152" i="61"/>
  <c r="H152" i="61"/>
  <c r="G152" i="61"/>
  <c r="F152" i="61"/>
  <c r="E152" i="61"/>
  <c r="D152" i="61"/>
  <c r="BH151" i="61"/>
  <c r="BG151" i="61"/>
  <c r="BF151" i="61"/>
  <c r="BE151" i="61"/>
  <c r="BD151" i="61"/>
  <c r="BC151" i="61"/>
  <c r="BB151" i="61"/>
  <c r="BA151" i="61"/>
  <c r="AZ151" i="61"/>
  <c r="AY151" i="61"/>
  <c r="AX151" i="61"/>
  <c r="AW151" i="61"/>
  <c r="AV151" i="61"/>
  <c r="AU151" i="61"/>
  <c r="AT151" i="61"/>
  <c r="AS151" i="61"/>
  <c r="AR151" i="61"/>
  <c r="AQ151" i="61"/>
  <c r="AP151" i="61"/>
  <c r="AO151" i="61"/>
  <c r="AN151" i="61"/>
  <c r="AM151" i="61"/>
  <c r="AL151" i="61"/>
  <c r="AK151" i="61"/>
  <c r="AJ151" i="61"/>
  <c r="AI151" i="61"/>
  <c r="AH151" i="61"/>
  <c r="AG151" i="61"/>
  <c r="AF151" i="61"/>
  <c r="AE151" i="61"/>
  <c r="AD151" i="61"/>
  <c r="AC151" i="61"/>
  <c r="AB151" i="61"/>
  <c r="AA151" i="61"/>
  <c r="Z151" i="61"/>
  <c r="Y151" i="61"/>
  <c r="X151" i="61"/>
  <c r="W151" i="61"/>
  <c r="V151" i="61"/>
  <c r="U151" i="61"/>
  <c r="T151" i="61"/>
  <c r="S151" i="61"/>
  <c r="R151" i="61"/>
  <c r="Q151" i="61"/>
  <c r="P151" i="61"/>
  <c r="O151" i="61"/>
  <c r="N151" i="61"/>
  <c r="M151" i="61"/>
  <c r="L151" i="61"/>
  <c r="K151" i="61"/>
  <c r="J151" i="61"/>
  <c r="I151" i="61"/>
  <c r="H151" i="61"/>
  <c r="G151" i="61"/>
  <c r="F151" i="61"/>
  <c r="E151" i="61"/>
  <c r="D151" i="61"/>
  <c r="C145" i="61"/>
  <c r="D145" i="61" s="1"/>
  <c r="E145" i="61" s="1"/>
  <c r="F145" i="61" s="1"/>
  <c r="G145" i="61" s="1"/>
  <c r="H145" i="61" s="1"/>
  <c r="I145" i="61" s="1"/>
  <c r="J145" i="61" s="1"/>
  <c r="K145" i="61" s="1"/>
  <c r="L145" i="61" s="1"/>
  <c r="M145" i="61" s="1"/>
  <c r="N145" i="61" s="1"/>
  <c r="O145" i="61" s="1"/>
  <c r="P145" i="61" s="1"/>
  <c r="Q145" i="61" s="1"/>
  <c r="R145" i="61" s="1"/>
  <c r="S145" i="61" s="1"/>
  <c r="T145" i="61" s="1"/>
  <c r="U145" i="61" s="1"/>
  <c r="V145" i="61" s="1"/>
  <c r="W145" i="61" s="1"/>
  <c r="X145" i="61" s="1"/>
  <c r="Y145" i="61" s="1"/>
  <c r="Z145" i="61" s="1"/>
  <c r="AA145" i="61" s="1"/>
  <c r="AB145" i="61" s="1"/>
  <c r="AC145" i="61" s="1"/>
  <c r="AD145" i="61" s="1"/>
  <c r="AE145" i="61" s="1"/>
  <c r="AF145" i="61" s="1"/>
  <c r="AG145" i="61" s="1"/>
  <c r="AH145" i="61" s="1"/>
  <c r="AI145" i="61" s="1"/>
  <c r="AJ145" i="61" s="1"/>
  <c r="AK145" i="61" s="1"/>
  <c r="AL145" i="61" s="1"/>
  <c r="AM145" i="61" s="1"/>
  <c r="AN145" i="61" s="1"/>
  <c r="AO145" i="61" s="1"/>
  <c r="AP145" i="61" s="1"/>
  <c r="AQ145" i="61" s="1"/>
  <c r="AR145" i="61" s="1"/>
  <c r="AS145" i="61" s="1"/>
  <c r="AT145" i="61" s="1"/>
  <c r="AU145" i="61" s="1"/>
  <c r="AV145" i="61" s="1"/>
  <c r="AW145" i="61" s="1"/>
  <c r="AX145" i="61" s="1"/>
  <c r="AY145" i="61" s="1"/>
  <c r="AZ145" i="61" s="1"/>
  <c r="BA145" i="61" s="1"/>
  <c r="BB145" i="61" s="1"/>
  <c r="BC145" i="61" s="1"/>
  <c r="BD145" i="61" s="1"/>
  <c r="BE145" i="61" s="1"/>
  <c r="BF145" i="61" s="1"/>
  <c r="BG145" i="61" s="1"/>
  <c r="BH145" i="61" s="1"/>
  <c r="C137" i="61"/>
  <c r="D137" i="61" s="1"/>
  <c r="E137" i="61" s="1"/>
  <c r="F137" i="61" s="1"/>
  <c r="G137" i="61" s="1"/>
  <c r="H137" i="61" s="1"/>
  <c r="I137" i="61" s="1"/>
  <c r="J137" i="61" s="1"/>
  <c r="K137" i="61" s="1"/>
  <c r="L137" i="61" s="1"/>
  <c r="M137" i="61" s="1"/>
  <c r="N137" i="61" s="1"/>
  <c r="O137" i="61" s="1"/>
  <c r="P137" i="61" s="1"/>
  <c r="Q137" i="61" s="1"/>
  <c r="R137" i="61" s="1"/>
  <c r="S137" i="61" s="1"/>
  <c r="T137" i="61" s="1"/>
  <c r="U137" i="61" s="1"/>
  <c r="V137" i="61" s="1"/>
  <c r="W137" i="61" s="1"/>
  <c r="X137" i="61" s="1"/>
  <c r="Y137" i="61" s="1"/>
  <c r="Z137" i="61" s="1"/>
  <c r="AA137" i="61" s="1"/>
  <c r="AB137" i="61" s="1"/>
  <c r="AC137" i="61" s="1"/>
  <c r="AD137" i="61" s="1"/>
  <c r="AE137" i="61" s="1"/>
  <c r="AF137" i="61" s="1"/>
  <c r="AG137" i="61" s="1"/>
  <c r="AH137" i="61" s="1"/>
  <c r="AI137" i="61" s="1"/>
  <c r="AJ137" i="61" s="1"/>
  <c r="AK137" i="61" s="1"/>
  <c r="AL137" i="61" s="1"/>
  <c r="AM137" i="61" s="1"/>
  <c r="AN137" i="61" s="1"/>
  <c r="AO137" i="61" s="1"/>
  <c r="AP137" i="61" s="1"/>
  <c r="AQ137" i="61" s="1"/>
  <c r="AR137" i="61" s="1"/>
  <c r="AS137" i="61" s="1"/>
  <c r="AT137" i="61" s="1"/>
  <c r="AU137" i="61" s="1"/>
  <c r="AV137" i="61" s="1"/>
  <c r="AW137" i="61" s="1"/>
  <c r="AX137" i="61" s="1"/>
  <c r="AY137" i="61" s="1"/>
  <c r="AZ137" i="61" s="1"/>
  <c r="BA137" i="61" s="1"/>
  <c r="BB137" i="61" s="1"/>
  <c r="BC137" i="61" s="1"/>
  <c r="BD137" i="61" s="1"/>
  <c r="BE137" i="61" s="1"/>
  <c r="BF137" i="61" s="1"/>
  <c r="BG137" i="61" s="1"/>
  <c r="BH137" i="61" s="1"/>
  <c r="BH131" i="61"/>
  <c r="BG131" i="61"/>
  <c r="BF131" i="61"/>
  <c r="BE131" i="61"/>
  <c r="BD131" i="61"/>
  <c r="BC131" i="61"/>
  <c r="BB131" i="61"/>
  <c r="BA131" i="61"/>
  <c r="AZ131" i="61"/>
  <c r="AY131" i="61"/>
  <c r="AX131" i="61"/>
  <c r="AW131" i="61"/>
  <c r="AV131" i="61"/>
  <c r="AU131" i="61"/>
  <c r="AT131" i="61"/>
  <c r="AS131" i="61"/>
  <c r="AR131" i="61"/>
  <c r="AQ131" i="61"/>
  <c r="AP131" i="61"/>
  <c r="AO131" i="61"/>
  <c r="AN131" i="61"/>
  <c r="AM131" i="61"/>
  <c r="AL131" i="61"/>
  <c r="AK131" i="61"/>
  <c r="AJ131" i="61"/>
  <c r="AI131" i="61"/>
  <c r="AH131" i="61"/>
  <c r="AG131" i="61"/>
  <c r="AF131" i="61"/>
  <c r="AE131" i="61"/>
  <c r="AD131" i="61"/>
  <c r="AC131" i="61"/>
  <c r="AB131" i="61"/>
  <c r="AA131" i="61"/>
  <c r="Z131" i="61"/>
  <c r="Y131" i="61"/>
  <c r="X131" i="61"/>
  <c r="W131" i="61"/>
  <c r="V131" i="61"/>
  <c r="U131" i="61"/>
  <c r="T131" i="61"/>
  <c r="S131" i="61"/>
  <c r="R131" i="61"/>
  <c r="Q131" i="61"/>
  <c r="P131" i="61"/>
  <c r="O131" i="61"/>
  <c r="N131" i="61"/>
  <c r="M131" i="61"/>
  <c r="L131" i="61"/>
  <c r="K131" i="61"/>
  <c r="J131" i="61"/>
  <c r="I131" i="61"/>
  <c r="H131" i="61"/>
  <c r="G131" i="61"/>
  <c r="F131" i="61"/>
  <c r="E131" i="61"/>
  <c r="D131" i="61"/>
  <c r="D121" i="61"/>
  <c r="E121" i="61" s="1"/>
  <c r="F121" i="61" s="1"/>
  <c r="G121" i="61" s="1"/>
  <c r="H121" i="61" s="1"/>
  <c r="I121" i="61" s="1"/>
  <c r="J121" i="61" s="1"/>
  <c r="K121" i="61" s="1"/>
  <c r="L121" i="61" s="1"/>
  <c r="M121" i="61" s="1"/>
  <c r="N121" i="61" s="1"/>
  <c r="O121" i="61" s="1"/>
  <c r="P121" i="61" s="1"/>
  <c r="Q121" i="61" s="1"/>
  <c r="R121" i="61" s="1"/>
  <c r="S121" i="61" s="1"/>
  <c r="T121" i="61" s="1"/>
  <c r="U121" i="61" s="1"/>
  <c r="V121" i="61" s="1"/>
  <c r="W121" i="61" s="1"/>
  <c r="X121" i="61" s="1"/>
  <c r="Y121" i="61" s="1"/>
  <c r="Z121" i="61" s="1"/>
  <c r="AA121" i="61" s="1"/>
  <c r="AB121" i="61" s="1"/>
  <c r="AC121" i="61" s="1"/>
  <c r="AD121" i="61" s="1"/>
  <c r="AE121" i="61" s="1"/>
  <c r="AF121" i="61" s="1"/>
  <c r="AG121" i="61" s="1"/>
  <c r="AH121" i="61" s="1"/>
  <c r="AI121" i="61" s="1"/>
  <c r="AJ121" i="61" s="1"/>
  <c r="AK121" i="61" s="1"/>
  <c r="AL121" i="61" s="1"/>
  <c r="AM121" i="61" s="1"/>
  <c r="AN121" i="61" s="1"/>
  <c r="AO121" i="61" s="1"/>
  <c r="AP121" i="61" s="1"/>
  <c r="AQ121" i="61" s="1"/>
  <c r="AR121" i="61" s="1"/>
  <c r="AS121" i="61" s="1"/>
  <c r="AT121" i="61" s="1"/>
  <c r="AU121" i="61" s="1"/>
  <c r="AV121" i="61" s="1"/>
  <c r="AW121" i="61" s="1"/>
  <c r="AX121" i="61" s="1"/>
  <c r="AY121" i="61" s="1"/>
  <c r="AZ121" i="61" s="1"/>
  <c r="BA121" i="61" s="1"/>
  <c r="BB121" i="61" s="1"/>
  <c r="BC121" i="61" s="1"/>
  <c r="BD121" i="61" s="1"/>
  <c r="BE121" i="61" s="1"/>
  <c r="BF121" i="61" s="1"/>
  <c r="BG121" i="61" s="1"/>
  <c r="BH121" i="61" s="1"/>
  <c r="BH116" i="61"/>
  <c r="BG116" i="61"/>
  <c r="BF116" i="61"/>
  <c r="BE116" i="61"/>
  <c r="BD116" i="61"/>
  <c r="BC116" i="61"/>
  <c r="BB116" i="61"/>
  <c r="BA116" i="61"/>
  <c r="AZ116" i="61"/>
  <c r="AY116" i="61"/>
  <c r="AX116" i="61"/>
  <c r="AW116" i="61"/>
  <c r="AV116" i="61"/>
  <c r="AU116" i="61"/>
  <c r="AT116" i="61"/>
  <c r="AS116" i="61"/>
  <c r="AR116" i="61"/>
  <c r="AQ116" i="61"/>
  <c r="AP116" i="61"/>
  <c r="AO116" i="61"/>
  <c r="AN116" i="61"/>
  <c r="AM116" i="61"/>
  <c r="AL116" i="61"/>
  <c r="AK116" i="61"/>
  <c r="AJ116" i="61"/>
  <c r="AI116" i="61"/>
  <c r="AH116" i="61"/>
  <c r="AG116" i="61"/>
  <c r="AF116" i="61"/>
  <c r="AE116" i="61"/>
  <c r="AD116" i="61"/>
  <c r="AC116" i="61"/>
  <c r="AB116" i="61"/>
  <c r="AA116" i="61"/>
  <c r="Z116" i="61"/>
  <c r="Y116" i="61"/>
  <c r="X116" i="61"/>
  <c r="W116" i="61"/>
  <c r="V116" i="61"/>
  <c r="U116" i="61"/>
  <c r="T116" i="61"/>
  <c r="S116" i="61"/>
  <c r="R116" i="61"/>
  <c r="Q116" i="61"/>
  <c r="P116" i="61"/>
  <c r="O116" i="61"/>
  <c r="N116" i="61"/>
  <c r="M116" i="61"/>
  <c r="L116" i="61"/>
  <c r="K116" i="61"/>
  <c r="J116" i="61"/>
  <c r="I116" i="61"/>
  <c r="H116" i="61"/>
  <c r="G116" i="61"/>
  <c r="F116" i="61"/>
  <c r="E116" i="61"/>
  <c r="D116" i="61"/>
  <c r="BH108" i="61"/>
  <c r="BG108" i="61"/>
  <c r="BF108" i="61"/>
  <c r="BE108" i="61"/>
  <c r="BD108" i="61"/>
  <c r="BC108" i="61"/>
  <c r="BB108" i="61"/>
  <c r="BA108" i="61"/>
  <c r="AZ108" i="61"/>
  <c r="AY108" i="61"/>
  <c r="AX108" i="61"/>
  <c r="AW108" i="61"/>
  <c r="AV108" i="61"/>
  <c r="AU108" i="61"/>
  <c r="AT108" i="61"/>
  <c r="AS108" i="61"/>
  <c r="AR108" i="61"/>
  <c r="AQ108" i="61"/>
  <c r="AP108" i="61"/>
  <c r="AO108" i="61"/>
  <c r="AN108" i="61"/>
  <c r="AM108" i="61"/>
  <c r="C96" i="61"/>
  <c r="D94" i="61"/>
  <c r="E94" i="61" s="1"/>
  <c r="F94" i="61" s="1"/>
  <c r="G94" i="61" s="1"/>
  <c r="H94" i="61" s="1"/>
  <c r="I94" i="61" s="1"/>
  <c r="J94" i="61" s="1"/>
  <c r="K94" i="61" s="1"/>
  <c r="L94" i="61" s="1"/>
  <c r="M94" i="61" s="1"/>
  <c r="N94" i="61" s="1"/>
  <c r="O94" i="61" s="1"/>
  <c r="P94" i="61" s="1"/>
  <c r="Q94" i="61" s="1"/>
  <c r="R94" i="61" s="1"/>
  <c r="S94" i="61" s="1"/>
  <c r="T94" i="61" s="1"/>
  <c r="U94" i="61" s="1"/>
  <c r="V94" i="61" s="1"/>
  <c r="W94" i="61" s="1"/>
  <c r="X94" i="61" s="1"/>
  <c r="Y94" i="61" s="1"/>
  <c r="Z94" i="61" s="1"/>
  <c r="AA94" i="61" s="1"/>
  <c r="AB94" i="61" s="1"/>
  <c r="AC94" i="61" s="1"/>
  <c r="AD94" i="61" s="1"/>
  <c r="AE94" i="61" s="1"/>
  <c r="AF94" i="61" s="1"/>
  <c r="AG94" i="61" s="1"/>
  <c r="AH94" i="61" s="1"/>
  <c r="AI94" i="61" s="1"/>
  <c r="AJ94" i="61" s="1"/>
  <c r="AK94" i="61" s="1"/>
  <c r="AL94" i="61" s="1"/>
  <c r="AM94" i="61" s="1"/>
  <c r="AN94" i="61" s="1"/>
  <c r="AO94" i="61" s="1"/>
  <c r="AP94" i="61" s="1"/>
  <c r="AQ94" i="61" s="1"/>
  <c r="AR94" i="61" s="1"/>
  <c r="AS94" i="61" s="1"/>
  <c r="AT94" i="61" s="1"/>
  <c r="AU94" i="61" s="1"/>
  <c r="AV94" i="61" s="1"/>
  <c r="AW94" i="61" s="1"/>
  <c r="AX94" i="61" s="1"/>
  <c r="AY94" i="61" s="1"/>
  <c r="AZ94" i="61" s="1"/>
  <c r="BA94" i="61" s="1"/>
  <c r="BB94" i="61" s="1"/>
  <c r="BC94" i="61" s="1"/>
  <c r="BD94" i="61" s="1"/>
  <c r="BE94" i="61" s="1"/>
  <c r="BF94" i="61" s="1"/>
  <c r="BG94" i="61" s="1"/>
  <c r="BH94" i="61" s="1"/>
  <c r="BH91" i="61"/>
  <c r="BG91" i="61"/>
  <c r="BF91" i="61"/>
  <c r="BE91" i="61"/>
  <c r="BD91" i="61"/>
  <c r="BC91" i="61"/>
  <c r="BB91" i="61"/>
  <c r="BA91" i="61"/>
  <c r="AZ91" i="61"/>
  <c r="AY91" i="61"/>
  <c r="AX91" i="61"/>
  <c r="AW91" i="61"/>
  <c r="AV91" i="61"/>
  <c r="AU91" i="61"/>
  <c r="AT91" i="61"/>
  <c r="AS91" i="61"/>
  <c r="AR91" i="61"/>
  <c r="AQ91" i="61"/>
  <c r="AP91" i="61"/>
  <c r="AO91" i="61"/>
  <c r="AN91" i="61"/>
  <c r="AM91" i="61"/>
  <c r="BH87" i="61"/>
  <c r="BG87" i="61"/>
  <c r="BF87" i="61"/>
  <c r="BE87" i="61"/>
  <c r="BD87" i="61"/>
  <c r="BC87" i="61"/>
  <c r="BB87" i="61"/>
  <c r="BA87" i="61"/>
  <c r="AZ87" i="61"/>
  <c r="AY87" i="61"/>
  <c r="AX87" i="61"/>
  <c r="AW87" i="61"/>
  <c r="AV87" i="61"/>
  <c r="AU87" i="61"/>
  <c r="AT87" i="61"/>
  <c r="AS87" i="61"/>
  <c r="AR87" i="61"/>
  <c r="AQ87" i="61"/>
  <c r="AP87" i="61"/>
  <c r="AO87" i="61"/>
  <c r="AN87" i="61"/>
  <c r="AM87" i="61"/>
  <c r="AL87" i="61"/>
  <c r="D84" i="61"/>
  <c r="E84" i="61" s="1"/>
  <c r="F84" i="61" s="1"/>
  <c r="G84" i="61" s="1"/>
  <c r="H84" i="61" s="1"/>
  <c r="I84" i="61" s="1"/>
  <c r="J84" i="61" s="1"/>
  <c r="K84" i="61" s="1"/>
  <c r="L84" i="61" s="1"/>
  <c r="M84" i="61" s="1"/>
  <c r="N84" i="61" s="1"/>
  <c r="O84" i="61" s="1"/>
  <c r="P84" i="61" s="1"/>
  <c r="Q84" i="61" s="1"/>
  <c r="R84" i="61" s="1"/>
  <c r="S84" i="61" s="1"/>
  <c r="T84" i="61" s="1"/>
  <c r="U84" i="61" s="1"/>
  <c r="V84" i="61" s="1"/>
  <c r="W84" i="61" s="1"/>
  <c r="X84" i="61" s="1"/>
  <c r="Y84" i="61" s="1"/>
  <c r="Z84" i="61" s="1"/>
  <c r="AA84" i="61" s="1"/>
  <c r="AB84" i="61" s="1"/>
  <c r="AC84" i="61" s="1"/>
  <c r="AD84" i="61" s="1"/>
  <c r="AE84" i="61" s="1"/>
  <c r="AF84" i="61" s="1"/>
  <c r="AG84" i="61" s="1"/>
  <c r="AH84" i="61" s="1"/>
  <c r="AI84" i="61" s="1"/>
  <c r="AJ84" i="61" s="1"/>
  <c r="AK84" i="61" s="1"/>
  <c r="AL84" i="61" s="1"/>
  <c r="AM84" i="61" s="1"/>
  <c r="AN84" i="61" s="1"/>
  <c r="AO84" i="61" s="1"/>
  <c r="AP84" i="61" s="1"/>
  <c r="AQ84" i="61" s="1"/>
  <c r="AR84" i="61" s="1"/>
  <c r="AS84" i="61" s="1"/>
  <c r="AT84" i="61" s="1"/>
  <c r="AU84" i="61" s="1"/>
  <c r="AV84" i="61" s="1"/>
  <c r="AW84" i="61" s="1"/>
  <c r="AX84" i="61" s="1"/>
  <c r="AY84" i="61" s="1"/>
  <c r="AZ84" i="61" s="1"/>
  <c r="BA84" i="61" s="1"/>
  <c r="BB84" i="61" s="1"/>
  <c r="BC84" i="61" s="1"/>
  <c r="BD84" i="61" s="1"/>
  <c r="BE84" i="61" s="1"/>
  <c r="BF84" i="61" s="1"/>
  <c r="BG84" i="61" s="1"/>
  <c r="BH84" i="61" s="1"/>
  <c r="BH81" i="61"/>
  <c r="BG81" i="61"/>
  <c r="BF81" i="61"/>
  <c r="BE81" i="61"/>
  <c r="BD81" i="61"/>
  <c r="BC81" i="61"/>
  <c r="BB81" i="61"/>
  <c r="BA81" i="61"/>
  <c r="AZ81" i="61"/>
  <c r="AY81" i="61"/>
  <c r="AX81" i="61"/>
  <c r="AW81" i="61"/>
  <c r="AV81" i="61"/>
  <c r="AU81" i="61"/>
  <c r="AT81" i="61"/>
  <c r="AS81" i="61"/>
  <c r="AR81" i="61"/>
  <c r="AQ81" i="61"/>
  <c r="AP81" i="61"/>
  <c r="AO81" i="61"/>
  <c r="AN81" i="61"/>
  <c r="AM81" i="61"/>
  <c r="BH72" i="61"/>
  <c r="BG72" i="61"/>
  <c r="BF72" i="61"/>
  <c r="BE72" i="61"/>
  <c r="BD72" i="61"/>
  <c r="BC72" i="61"/>
  <c r="BB72" i="61"/>
  <c r="BA72" i="61"/>
  <c r="AZ72" i="61"/>
  <c r="AY72" i="61"/>
  <c r="AX72" i="61"/>
  <c r="AW72" i="61"/>
  <c r="AV72" i="61"/>
  <c r="AU72" i="61"/>
  <c r="AT72" i="61"/>
  <c r="AS72" i="61"/>
  <c r="AR72" i="61"/>
  <c r="AQ72" i="61"/>
  <c r="AP72" i="61"/>
  <c r="AO72" i="61"/>
  <c r="AN72" i="61"/>
  <c r="AM72" i="61"/>
  <c r="AL72" i="61"/>
  <c r="BH65" i="61"/>
  <c r="BH67" i="61" s="1"/>
  <c r="BG65" i="61"/>
  <c r="BG67" i="61" s="1"/>
  <c r="BG68" i="61" s="1"/>
  <c r="BF65" i="61"/>
  <c r="BF67" i="61" s="1"/>
  <c r="BE65" i="61"/>
  <c r="BE67" i="61" s="1"/>
  <c r="BD65" i="61"/>
  <c r="BD67" i="61" s="1"/>
  <c r="BC65" i="61"/>
  <c r="BC67" i="61" s="1"/>
  <c r="BB65" i="61"/>
  <c r="BB67" i="61" s="1"/>
  <c r="BA65" i="61"/>
  <c r="BA67" i="61" s="1"/>
  <c r="BA68" i="61" s="1"/>
  <c r="AZ65" i="61"/>
  <c r="AZ67" i="61" s="1"/>
  <c r="AY65" i="61"/>
  <c r="AY67" i="61" s="1"/>
  <c r="AY68" i="61" s="1"/>
  <c r="AX65" i="61"/>
  <c r="AX67" i="61" s="1"/>
  <c r="AX68" i="61" s="1"/>
  <c r="AX69" i="61" s="1"/>
  <c r="AW65" i="61"/>
  <c r="AW67" i="61" s="1"/>
  <c r="AV65" i="61"/>
  <c r="AV67" i="61" s="1"/>
  <c r="AU65" i="61"/>
  <c r="AU67" i="61" s="1"/>
  <c r="AT65" i="61"/>
  <c r="AT67" i="61" s="1"/>
  <c r="AS65" i="61"/>
  <c r="AS67" i="61" s="1"/>
  <c r="AS68" i="61" s="1"/>
  <c r="AR65" i="61"/>
  <c r="AR67" i="61" s="1"/>
  <c r="AR68" i="61" s="1"/>
  <c r="AQ65" i="61"/>
  <c r="AQ67" i="61" s="1"/>
  <c r="AP65" i="61"/>
  <c r="AP67" i="61" s="1"/>
  <c r="AO65" i="61"/>
  <c r="AO67" i="61" s="1"/>
  <c r="AN65" i="61"/>
  <c r="AN67" i="61" s="1"/>
  <c r="AM65" i="61"/>
  <c r="AM67" i="61" s="1"/>
  <c r="AM68" i="61" s="1"/>
  <c r="AL65" i="61"/>
  <c r="AL67" i="61" s="1"/>
  <c r="AK65" i="61"/>
  <c r="AK67" i="61" s="1"/>
  <c r="AK68" i="61" s="1"/>
  <c r="AJ65" i="61"/>
  <c r="AJ67" i="61" s="1"/>
  <c r="AI65" i="61"/>
  <c r="AI67" i="61" s="1"/>
  <c r="AI68" i="61" s="1"/>
  <c r="AH65" i="61"/>
  <c r="AH67" i="61" s="1"/>
  <c r="AG65" i="61"/>
  <c r="AG67" i="61" s="1"/>
  <c r="AG68" i="61" s="1"/>
  <c r="AF65" i="61"/>
  <c r="AF67" i="61" s="1"/>
  <c r="AF68" i="61" s="1"/>
  <c r="AE65" i="61"/>
  <c r="AE67" i="61" s="1"/>
  <c r="AD65" i="61"/>
  <c r="AD67" i="61" s="1"/>
  <c r="AD68" i="61" s="1"/>
  <c r="AC65" i="61"/>
  <c r="AC67" i="61" s="1"/>
  <c r="AC68" i="61" s="1"/>
  <c r="AB65" i="61"/>
  <c r="AB67" i="61" s="1"/>
  <c r="AA65" i="61"/>
  <c r="AA67" i="61" s="1"/>
  <c r="Z65" i="61"/>
  <c r="Z67" i="61" s="1"/>
  <c r="Z68" i="61" s="1"/>
  <c r="Y65" i="61"/>
  <c r="Y67" i="61" s="1"/>
  <c r="X65" i="61"/>
  <c r="X67" i="61" s="1"/>
  <c r="X68" i="61" s="1"/>
  <c r="W65" i="61"/>
  <c r="W67" i="61" s="1"/>
  <c r="W68" i="61" s="1"/>
  <c r="V65" i="61"/>
  <c r="V67" i="61" s="1"/>
  <c r="U65" i="61"/>
  <c r="U67" i="61" s="1"/>
  <c r="T65" i="61"/>
  <c r="T67" i="61" s="1"/>
  <c r="S65" i="61"/>
  <c r="S67" i="61" s="1"/>
  <c r="R65" i="61"/>
  <c r="R67" i="61" s="1"/>
  <c r="Q65" i="61"/>
  <c r="Q67" i="61" s="1"/>
  <c r="Q68" i="61" s="1"/>
  <c r="P65" i="61"/>
  <c r="P67" i="61" s="1"/>
  <c r="O65" i="61"/>
  <c r="O67" i="61" s="1"/>
  <c r="N65" i="61"/>
  <c r="N67" i="61" s="1"/>
  <c r="M65" i="61"/>
  <c r="M67" i="61" s="1"/>
  <c r="L65" i="61"/>
  <c r="L67" i="61" s="1"/>
  <c r="K65" i="61"/>
  <c r="K67" i="61" s="1"/>
  <c r="J65" i="61"/>
  <c r="J67" i="61" s="1"/>
  <c r="I65" i="61"/>
  <c r="I67" i="61" s="1"/>
  <c r="H65" i="61"/>
  <c r="H67" i="61" s="1"/>
  <c r="H68" i="61" s="1"/>
  <c r="G65" i="61"/>
  <c r="G67" i="61" s="1"/>
  <c r="F65" i="61"/>
  <c r="F67" i="61" s="1"/>
  <c r="E65" i="61"/>
  <c r="E67" i="61" s="1"/>
  <c r="E68" i="61" s="1"/>
  <c r="D65" i="61"/>
  <c r="D67" i="61" s="1"/>
  <c r="C65" i="61"/>
  <c r="C67" i="61" s="1"/>
  <c r="C68" i="61" s="1"/>
  <c r="C58" i="61"/>
  <c r="D57" i="61"/>
  <c r="E57" i="61" s="1"/>
  <c r="AL46" i="61"/>
  <c r="AK45" i="61" s="1"/>
  <c r="AK46" i="61"/>
  <c r="AJ45" i="61" s="1"/>
  <c r="AJ46" i="61"/>
  <c r="AI45" i="61" s="1"/>
  <c r="AI46" i="61"/>
  <c r="AH45" i="61" s="1"/>
  <c r="AH46" i="61"/>
  <c r="AG45" i="61" s="1"/>
  <c r="AG46" i="61"/>
  <c r="AF46" i="61"/>
  <c r="AE45" i="61" s="1"/>
  <c r="AE46" i="61"/>
  <c r="AD46" i="61"/>
  <c r="AC45" i="61" s="1"/>
  <c r="AC46" i="61"/>
  <c r="AB45" i="61" s="1"/>
  <c r="AB46" i="61"/>
  <c r="AA45" i="61" s="1"/>
  <c r="AA46" i="61"/>
  <c r="Z46" i="61"/>
  <c r="Y46" i="61"/>
  <c r="X46" i="61"/>
  <c r="W46" i="61"/>
  <c r="V45" i="61" s="1"/>
  <c r="V46" i="61"/>
  <c r="U45" i="61" s="1"/>
  <c r="U46" i="61"/>
  <c r="T45" i="61" s="1"/>
  <c r="T46" i="61"/>
  <c r="S45" i="61" s="1"/>
  <c r="S46" i="61"/>
  <c r="R45" i="61" s="1"/>
  <c r="R46" i="61"/>
  <c r="Q45" i="61" s="1"/>
  <c r="Q46" i="61"/>
  <c r="P45" i="61" s="1"/>
  <c r="P46" i="61"/>
  <c r="O45" i="61" s="1"/>
  <c r="O46" i="61"/>
  <c r="N45" i="61" s="1"/>
  <c r="N46" i="61"/>
  <c r="M46" i="61"/>
  <c r="L45" i="61" s="1"/>
  <c r="L46" i="61"/>
  <c r="K45" i="61" s="1"/>
  <c r="K46" i="61"/>
  <c r="J46" i="61"/>
  <c r="I45" i="61" s="1"/>
  <c r="I46" i="61"/>
  <c r="H46" i="61"/>
  <c r="G45" i="61" s="1"/>
  <c r="G46" i="61"/>
  <c r="F45" i="61" s="1"/>
  <c r="F46" i="61"/>
  <c r="E45" i="61" s="1"/>
  <c r="E46" i="61"/>
  <c r="D45" i="61" s="1"/>
  <c r="D46" i="61"/>
  <c r="C45" i="61" s="1"/>
  <c r="C46" i="61"/>
  <c r="BH45" i="61"/>
  <c r="BG45" i="61"/>
  <c r="BF45" i="61"/>
  <c r="BE45" i="61"/>
  <c r="BD45" i="61"/>
  <c r="BC45" i="61"/>
  <c r="BB45" i="61"/>
  <c r="BA45" i="61"/>
  <c r="AZ45" i="61"/>
  <c r="AY45" i="61"/>
  <c r="AX45" i="61"/>
  <c r="AW45" i="61"/>
  <c r="AV45" i="61"/>
  <c r="AU45" i="61"/>
  <c r="AT45" i="61"/>
  <c r="AS45" i="61"/>
  <c r="AR45" i="61"/>
  <c r="AQ45" i="61"/>
  <c r="AP45" i="61"/>
  <c r="AO45" i="61"/>
  <c r="AN45" i="61"/>
  <c r="AM45" i="61"/>
  <c r="AL45" i="61"/>
  <c r="Z45" i="61"/>
  <c r="Y45" i="61"/>
  <c r="W45" i="61"/>
  <c r="M45" i="61"/>
  <c r="J45" i="61"/>
  <c r="D42" i="61"/>
  <c r="E42" i="61" s="1"/>
  <c r="F42" i="61" s="1"/>
  <c r="G42" i="61" s="1"/>
  <c r="BH39" i="61"/>
  <c r="BG39" i="61"/>
  <c r="BF39" i="61"/>
  <c r="BE39" i="61"/>
  <c r="BD39" i="61"/>
  <c r="BC39" i="61"/>
  <c r="BB39" i="61"/>
  <c r="BA39" i="61"/>
  <c r="AZ39" i="61"/>
  <c r="AY39" i="61"/>
  <c r="AX39" i="61"/>
  <c r="AW39" i="61"/>
  <c r="AV39" i="61"/>
  <c r="AU39" i="61"/>
  <c r="AT39" i="61"/>
  <c r="AS39" i="61"/>
  <c r="AR39" i="61"/>
  <c r="AQ39" i="61"/>
  <c r="AP39" i="61"/>
  <c r="AO39" i="61"/>
  <c r="AN39" i="61"/>
  <c r="AM39" i="61"/>
  <c r="O39" i="61"/>
  <c r="N39" i="61"/>
  <c r="AL36" i="61"/>
  <c r="AK36" i="61"/>
  <c r="AJ36" i="61"/>
  <c r="AJ39" i="61" s="1"/>
  <c r="AI36" i="61"/>
  <c r="AI39" i="61" s="1"/>
  <c r="AH36" i="61"/>
  <c r="AG36" i="61"/>
  <c r="AG39" i="61" s="1"/>
  <c r="AF36" i="61"/>
  <c r="AE36" i="61"/>
  <c r="AD35" i="61" s="1"/>
  <c r="AD36" i="61"/>
  <c r="AC35" i="61" s="1"/>
  <c r="AC36" i="61"/>
  <c r="AB36" i="61"/>
  <c r="AA35" i="61" s="1"/>
  <c r="AA36" i="61"/>
  <c r="AA39" i="61" s="1"/>
  <c r="Z36" i="61"/>
  <c r="Y35" i="61" s="1"/>
  <c r="Y36" i="61"/>
  <c r="X36" i="61"/>
  <c r="X39" i="61" s="1"/>
  <c r="W36" i="61"/>
  <c r="W39" i="61" s="1"/>
  <c r="V36" i="61"/>
  <c r="U36" i="61"/>
  <c r="T36" i="61"/>
  <c r="S35" i="61" s="1"/>
  <c r="S36" i="61"/>
  <c r="S39" i="61" s="1"/>
  <c r="R36" i="61"/>
  <c r="Q35" i="61" s="1"/>
  <c r="Q36" i="61"/>
  <c r="P36" i="61"/>
  <c r="O36" i="61"/>
  <c r="N35" i="61" s="1"/>
  <c r="N36" i="61"/>
  <c r="M35" i="61" s="1"/>
  <c r="M36" i="61"/>
  <c r="L36" i="61"/>
  <c r="K36" i="61"/>
  <c r="J36" i="61"/>
  <c r="I35" i="61" s="1"/>
  <c r="I36" i="61"/>
  <c r="H36" i="61"/>
  <c r="G35" i="61" s="1"/>
  <c r="G36" i="61"/>
  <c r="F36" i="61"/>
  <c r="E36" i="61"/>
  <c r="D36" i="61"/>
  <c r="D39" i="61" s="1"/>
  <c r="C36" i="61"/>
  <c r="C39" i="61" s="1"/>
  <c r="BH35" i="61"/>
  <c r="BG35" i="61"/>
  <c r="BF35" i="61"/>
  <c r="BE35" i="61"/>
  <c r="BD35" i="61"/>
  <c r="BC35" i="61"/>
  <c r="BB35" i="61"/>
  <c r="BA35" i="61"/>
  <c r="AZ35" i="61"/>
  <c r="AY35" i="61"/>
  <c r="AX35" i="61"/>
  <c r="AW35" i="61"/>
  <c r="AV35" i="61"/>
  <c r="AU35" i="61"/>
  <c r="AT35" i="61"/>
  <c r="AS35" i="61"/>
  <c r="AR35" i="61"/>
  <c r="AQ35" i="61"/>
  <c r="AP35" i="61"/>
  <c r="AO35" i="61"/>
  <c r="AN35" i="61"/>
  <c r="AM35" i="61"/>
  <c r="AL35" i="61"/>
  <c r="AH35" i="61"/>
  <c r="AF35" i="61"/>
  <c r="Z35" i="61"/>
  <c r="V35" i="61"/>
  <c r="R35" i="61"/>
  <c r="K35" i="61"/>
  <c r="J35" i="61"/>
  <c r="F35" i="61"/>
  <c r="D32" i="61"/>
  <c r="E32" i="61" s="1"/>
  <c r="F32" i="61" s="1"/>
  <c r="G32" i="61" s="1"/>
  <c r="H32" i="61" s="1"/>
  <c r="I32" i="61" s="1"/>
  <c r="J32" i="61" s="1"/>
  <c r="K32" i="61" s="1"/>
  <c r="L32" i="61" s="1"/>
  <c r="M32" i="61" s="1"/>
  <c r="N32" i="61" s="1"/>
  <c r="O32" i="61" s="1"/>
  <c r="P32" i="61" s="1"/>
  <c r="Q32" i="61" s="1"/>
  <c r="R32" i="61" s="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P29" i="61"/>
  <c r="BH23" i="61"/>
  <c r="BG23" i="61"/>
  <c r="BF23" i="61"/>
  <c r="BE23" i="61"/>
  <c r="BD23" i="61"/>
  <c r="BC23" i="61"/>
  <c r="BB23" i="61"/>
  <c r="BA23" i="61"/>
  <c r="AZ23" i="61"/>
  <c r="AY23" i="61"/>
  <c r="AX23" i="61"/>
  <c r="AW23" i="61"/>
  <c r="AV23" i="61"/>
  <c r="AU23" i="61"/>
  <c r="AT23" i="61"/>
  <c r="AS23" i="61"/>
  <c r="AR23" i="61"/>
  <c r="AQ23" i="61"/>
  <c r="AP23" i="61"/>
  <c r="AO23" i="61"/>
  <c r="AN23" i="61"/>
  <c r="AM23" i="61"/>
  <c r="AL23" i="61"/>
  <c r="Z23" i="61"/>
  <c r="AL21" i="61"/>
  <c r="AK21" i="61"/>
  <c r="AJ20" i="61" s="1"/>
  <c r="AJ21" i="61"/>
  <c r="AJ23" i="61" s="1"/>
  <c r="AI21" i="61"/>
  <c r="AH20" i="61" s="1"/>
  <c r="AH21" i="61"/>
  <c r="AG21" i="61"/>
  <c r="AG29" i="61" s="1"/>
  <c r="AF21" i="61"/>
  <c r="AE20" i="61" s="1"/>
  <c r="AE21" i="61"/>
  <c r="AD21" i="61"/>
  <c r="AC21" i="61"/>
  <c r="AC23" i="61" s="1"/>
  <c r="AB21" i="61"/>
  <c r="AB23" i="61" s="1"/>
  <c r="AA21" i="61"/>
  <c r="Z20" i="61" s="1"/>
  <c r="Z21" i="61"/>
  <c r="Y21" i="61"/>
  <c r="Y29" i="61" s="1"/>
  <c r="X21" i="61"/>
  <c r="W21" i="61"/>
  <c r="V21" i="61"/>
  <c r="U21" i="61"/>
  <c r="T20" i="61" s="1"/>
  <c r="T21" i="61"/>
  <c r="S20" i="61" s="1"/>
  <c r="S21" i="61"/>
  <c r="R20" i="61" s="1"/>
  <c r="R21" i="61"/>
  <c r="Q21" i="61"/>
  <c r="Q29" i="61" s="1"/>
  <c r="P21" i="61"/>
  <c r="P23" i="61" s="1"/>
  <c r="O21" i="61"/>
  <c r="N21" i="61"/>
  <c r="M21" i="61"/>
  <c r="M23" i="61" s="1"/>
  <c r="L21" i="61"/>
  <c r="L23" i="61" s="1"/>
  <c r="K21" i="61"/>
  <c r="J20" i="61" s="1"/>
  <c r="J21" i="61"/>
  <c r="I21" i="61"/>
  <c r="I23" i="61" s="1"/>
  <c r="H21" i="61"/>
  <c r="H23" i="61" s="1"/>
  <c r="G21" i="61"/>
  <c r="F21" i="61"/>
  <c r="E21" i="61"/>
  <c r="D20" i="61" s="1"/>
  <c r="D21" i="61"/>
  <c r="C21" i="61"/>
  <c r="C29" i="61" s="1"/>
  <c r="BH20" i="61"/>
  <c r="BG20" i="61"/>
  <c r="BF20" i="61"/>
  <c r="BE20" i="61"/>
  <c r="BD20" i="61"/>
  <c r="BC20" i="61"/>
  <c r="BB20" i="61"/>
  <c r="BA20" i="61"/>
  <c r="AZ20" i="61"/>
  <c r="AY20" i="61"/>
  <c r="AX20" i="61"/>
  <c r="AW20" i="61"/>
  <c r="AV20" i="61"/>
  <c r="AU20" i="61"/>
  <c r="AT20" i="61"/>
  <c r="AS20" i="61"/>
  <c r="AR20" i="61"/>
  <c r="AQ20" i="61"/>
  <c r="AP20" i="61"/>
  <c r="AO20" i="61"/>
  <c r="AN20" i="61"/>
  <c r="AM20" i="61"/>
  <c r="AL20" i="61"/>
  <c r="AI20" i="61"/>
  <c r="AB20" i="61"/>
  <c r="AA20" i="61"/>
  <c r="W20" i="61"/>
  <c r="U20" i="61"/>
  <c r="P20" i="61"/>
  <c r="O20" i="61"/>
  <c r="C20" i="61"/>
  <c r="BH17" i="61"/>
  <c r="BG17" i="61"/>
  <c r="BF17" i="61"/>
  <c r="BE17" i="61"/>
  <c r="BD17" i="61"/>
  <c r="BC17" i="61"/>
  <c r="BB17" i="61"/>
  <c r="BA17" i="61"/>
  <c r="AZ17" i="61"/>
  <c r="AY17" i="61"/>
  <c r="AX17" i="61"/>
  <c r="AW17" i="61"/>
  <c r="AV17" i="61"/>
  <c r="AU17" i="61"/>
  <c r="AT17" i="61"/>
  <c r="AS17" i="61"/>
  <c r="AR17" i="61"/>
  <c r="AQ17" i="61"/>
  <c r="AP17" i="61"/>
  <c r="AO17" i="61"/>
  <c r="AN17" i="61"/>
  <c r="AM17" i="61"/>
  <c r="AL17" i="61"/>
  <c r="AK17" i="61"/>
  <c r="AJ17" i="61"/>
  <c r="AI17" i="61"/>
  <c r="AH17" i="61"/>
  <c r="AG17" i="61"/>
  <c r="AF17" i="61"/>
  <c r="AE17" i="61"/>
  <c r="AD17" i="61"/>
  <c r="AC17" i="61"/>
  <c r="AB17" i="61"/>
  <c r="AA17" i="61"/>
  <c r="Z17" i="61"/>
  <c r="Y17" i="61"/>
  <c r="X17" i="61"/>
  <c r="W17" i="61"/>
  <c r="V17" i="61"/>
  <c r="U17" i="61"/>
  <c r="T17" i="61"/>
  <c r="S17" i="61"/>
  <c r="R17" i="61"/>
  <c r="Q17" i="61"/>
  <c r="P17" i="61"/>
  <c r="O17" i="61"/>
  <c r="N17" i="61"/>
  <c r="M17" i="61"/>
  <c r="L17" i="61"/>
  <c r="K17" i="61"/>
  <c r="J17" i="61"/>
  <c r="I17" i="61"/>
  <c r="H17" i="61"/>
  <c r="G17" i="61"/>
  <c r="F17" i="61"/>
  <c r="E17" i="61"/>
  <c r="D17" i="61"/>
  <c r="C17" i="61"/>
  <c r="BH16" i="61"/>
  <c r="BG16" i="61"/>
  <c r="BF16" i="61"/>
  <c r="BE16" i="61"/>
  <c r="BD16" i="61"/>
  <c r="BC16" i="61"/>
  <c r="BB16" i="61"/>
  <c r="BA16" i="61"/>
  <c r="AZ16" i="61"/>
  <c r="AY16" i="61"/>
  <c r="AX16" i="61"/>
  <c r="AW16" i="61"/>
  <c r="AV16" i="61"/>
  <c r="AU16" i="61"/>
  <c r="AT16" i="61"/>
  <c r="AS16" i="61"/>
  <c r="AR16" i="61"/>
  <c r="AQ16" i="61"/>
  <c r="AP16" i="61"/>
  <c r="AO16" i="61"/>
  <c r="AN16" i="61"/>
  <c r="AM16" i="61"/>
  <c r="AL16" i="61"/>
  <c r="AK16" i="61"/>
  <c r="AJ16" i="61"/>
  <c r="AI16" i="61"/>
  <c r="AH16" i="61"/>
  <c r="AG16" i="61"/>
  <c r="AF16" i="61"/>
  <c r="AE16" i="61"/>
  <c r="AD16" i="61"/>
  <c r="AC16" i="61"/>
  <c r="AB16" i="61"/>
  <c r="AA16" i="61"/>
  <c r="Z16" i="61"/>
  <c r="Y16" i="61"/>
  <c r="X16" i="61"/>
  <c r="W16" i="61"/>
  <c r="V16" i="61"/>
  <c r="U16" i="61"/>
  <c r="T16" i="61"/>
  <c r="S16" i="61"/>
  <c r="R16" i="61"/>
  <c r="Q16" i="61"/>
  <c r="P16" i="61"/>
  <c r="O16" i="61"/>
  <c r="N16" i="61"/>
  <c r="M16" i="61"/>
  <c r="L16" i="61"/>
  <c r="K16" i="61"/>
  <c r="J16" i="61"/>
  <c r="I16" i="61"/>
  <c r="H16" i="61"/>
  <c r="G16" i="61"/>
  <c r="F16" i="61"/>
  <c r="E16" i="61"/>
  <c r="D16" i="61"/>
  <c r="C16" i="61"/>
  <c r="D1" i="61"/>
  <c r="AS51" i="60" l="1"/>
  <c r="AS50" i="60" s="1"/>
  <c r="AS49" i="60" s="1"/>
  <c r="AR16" i="60"/>
  <c r="AQ15" i="60" s="1"/>
  <c r="AU55" i="60"/>
  <c r="AT17" i="60"/>
  <c r="AS54" i="60"/>
  <c r="AB29" i="61"/>
  <c r="C35" i="61"/>
  <c r="G20" i="61"/>
  <c r="K20" i="61"/>
  <c r="W35" i="61"/>
  <c r="AI35" i="61"/>
  <c r="E20" i="61"/>
  <c r="F23" i="61"/>
  <c r="J23" i="61"/>
  <c r="I20" i="61"/>
  <c r="N29" i="61"/>
  <c r="M20" i="61"/>
  <c r="R29" i="61"/>
  <c r="Q20" i="61"/>
  <c r="V29" i="61"/>
  <c r="V23" i="61"/>
  <c r="Z29" i="61"/>
  <c r="Y20" i="61"/>
  <c r="AD29" i="61"/>
  <c r="AC20" i="61"/>
  <c r="AD23" i="61"/>
  <c r="AH29" i="61"/>
  <c r="AG20" i="61"/>
  <c r="AL29" i="61"/>
  <c r="AK20" i="61"/>
  <c r="H35" i="61"/>
  <c r="M39" i="61"/>
  <c r="L35" i="61"/>
  <c r="Q39" i="61"/>
  <c r="P35" i="61"/>
  <c r="Y39" i="61"/>
  <c r="X35" i="61"/>
  <c r="AC39" i="61"/>
  <c r="AB35" i="61"/>
  <c r="D96" i="61"/>
  <c r="E1" i="61"/>
  <c r="F1" i="61" s="1"/>
  <c r="N23" i="61"/>
  <c r="N20" i="61"/>
  <c r="O29" i="61"/>
  <c r="AD20" i="61"/>
  <c r="AE29" i="61"/>
  <c r="AA23" i="61"/>
  <c r="AI29" i="61"/>
  <c r="D23" i="61"/>
  <c r="D29" i="61"/>
  <c r="T23" i="61"/>
  <c r="T29" i="61"/>
  <c r="X23" i="61"/>
  <c r="X29" i="61"/>
  <c r="AF23" i="61"/>
  <c r="AF29" i="61"/>
  <c r="S23" i="61"/>
  <c r="S29" i="61"/>
  <c r="AJ29" i="61"/>
  <c r="Z39" i="61"/>
  <c r="O23" i="61"/>
  <c r="AG35" i="61"/>
  <c r="AH39" i="61"/>
  <c r="K23" i="61"/>
  <c r="AI23" i="61"/>
  <c r="AA29" i="61"/>
  <c r="AE39" i="61"/>
  <c r="AD69" i="61"/>
  <c r="K68" i="61"/>
  <c r="K69" i="61" s="1"/>
  <c r="G68" i="61"/>
  <c r="G69" i="61" s="1"/>
  <c r="V68" i="61"/>
  <c r="V69" i="61" s="1"/>
  <c r="BB68" i="61"/>
  <c r="BB69" i="61" s="1"/>
  <c r="BG69" i="61"/>
  <c r="AQ68" i="61"/>
  <c r="AQ69" i="61" s="1"/>
  <c r="AI69" i="61"/>
  <c r="H42" i="61"/>
  <c r="I42" i="61" s="1"/>
  <c r="L68" i="61"/>
  <c r="L69" i="61" s="1"/>
  <c r="P68" i="61"/>
  <c r="P69" i="61" s="1"/>
  <c r="T68" i="61"/>
  <c r="T69" i="61" s="1"/>
  <c r="AZ68" i="61"/>
  <c r="AZ69" i="61" s="1"/>
  <c r="BH68" i="61"/>
  <c r="BH69" i="61" s="1"/>
  <c r="S32" i="61"/>
  <c r="T32" i="61" s="1"/>
  <c r="U32" i="61" s="1"/>
  <c r="V32" i="61" s="1"/>
  <c r="W32" i="61" s="1"/>
  <c r="X32" i="61" s="1"/>
  <c r="Y32" i="61" s="1"/>
  <c r="Z32" i="61" s="1"/>
  <c r="AA32" i="61" s="1"/>
  <c r="AB32" i="61" s="1"/>
  <c r="U23" i="61"/>
  <c r="D58" i="61"/>
  <c r="D68" i="61"/>
  <c r="D69" i="61" s="1"/>
  <c r="AB68" i="61"/>
  <c r="AB69" i="61" s="1"/>
  <c r="AJ68" i="61"/>
  <c r="AJ69" i="61" s="1"/>
  <c r="AR69" i="61"/>
  <c r="AK23" i="61"/>
  <c r="AF39" i="61"/>
  <c r="AE35" i="61"/>
  <c r="T39" i="61"/>
  <c r="H45" i="61"/>
  <c r="J68" i="61"/>
  <c r="J69" i="61" s="1"/>
  <c r="H20" i="61"/>
  <c r="F20" i="61"/>
  <c r="G23" i="61"/>
  <c r="V20" i="61"/>
  <c r="W29" i="61"/>
  <c r="W23" i="61"/>
  <c r="C23" i="61"/>
  <c r="Q23" i="61"/>
  <c r="Y23" i="61"/>
  <c r="AE23" i="61"/>
  <c r="AC29" i="61"/>
  <c r="D35" i="61"/>
  <c r="U39" i="61"/>
  <c r="T35" i="61"/>
  <c r="AK39" i="61"/>
  <c r="AJ35" i="61"/>
  <c r="AB39" i="61"/>
  <c r="AD45" i="61"/>
  <c r="N68" i="61"/>
  <c r="N69" i="61" s="1"/>
  <c r="R68" i="61"/>
  <c r="R69" i="61" s="1"/>
  <c r="AL68" i="61"/>
  <c r="AL69" i="61" s="1"/>
  <c r="AP68" i="61"/>
  <c r="AP69" i="61" s="1"/>
  <c r="AT68" i="61"/>
  <c r="AT69" i="61" s="1"/>
  <c r="BF68" i="61"/>
  <c r="BF69" i="61" s="1"/>
  <c r="AE68" i="61"/>
  <c r="AE69" i="61" s="1"/>
  <c r="AU68" i="61"/>
  <c r="AU69" i="61" s="1"/>
  <c r="AM69" i="61"/>
  <c r="M29" i="61"/>
  <c r="F57" i="61"/>
  <c r="E58" i="61"/>
  <c r="H69" i="61"/>
  <c r="AF69" i="61"/>
  <c r="AV68" i="61"/>
  <c r="AV69" i="61" s="1"/>
  <c r="BD68" i="61"/>
  <c r="BD69" i="61" s="1"/>
  <c r="Z69" i="61"/>
  <c r="BC68" i="61"/>
  <c r="BC69" i="61" s="1"/>
  <c r="L20" i="61"/>
  <c r="X20" i="61"/>
  <c r="U29" i="61"/>
  <c r="P39" i="61"/>
  <c r="O35" i="61"/>
  <c r="X45" i="61"/>
  <c r="AF45" i="61"/>
  <c r="AN68" i="61"/>
  <c r="AN69" i="61" s="1"/>
  <c r="E96" i="61"/>
  <c r="AF20" i="61"/>
  <c r="E23" i="61"/>
  <c r="AG23" i="61"/>
  <c r="AK29" i="61"/>
  <c r="E35" i="61"/>
  <c r="U35" i="61"/>
  <c r="V39" i="61"/>
  <c r="AK35" i="61"/>
  <c r="AL39" i="61"/>
  <c r="R39" i="61"/>
  <c r="AD39" i="61"/>
  <c r="F68" i="61"/>
  <c r="F69" i="61" s="1"/>
  <c r="AH68" i="61"/>
  <c r="AH69" i="61" s="1"/>
  <c r="X69" i="61"/>
  <c r="S68" i="61"/>
  <c r="S69" i="61" s="1"/>
  <c r="AA68" i="61"/>
  <c r="AA69" i="61" s="1"/>
  <c r="C69" i="61"/>
  <c r="W69" i="61"/>
  <c r="AY69" i="61"/>
  <c r="E69" i="61"/>
  <c r="I68" i="61"/>
  <c r="I69" i="61" s="1"/>
  <c r="Q69" i="61"/>
  <c r="Y68" i="61"/>
  <c r="Y69" i="61" s="1"/>
  <c r="AC69" i="61"/>
  <c r="AG69" i="61"/>
  <c r="AK69" i="61"/>
  <c r="AO68" i="61"/>
  <c r="AO69" i="61" s="1"/>
  <c r="AS69" i="61"/>
  <c r="BA69" i="61"/>
  <c r="BE68" i="61"/>
  <c r="BE69" i="61" s="1"/>
  <c r="O68" i="61"/>
  <c r="O69" i="61" s="1"/>
  <c r="M68" i="61"/>
  <c r="M69" i="61" s="1"/>
  <c r="U68" i="61"/>
  <c r="U69" i="61" s="1"/>
  <c r="AW68" i="61"/>
  <c r="AW69" i="61" s="1"/>
  <c r="R23" i="61"/>
  <c r="AH23" i="61"/>
  <c r="AT51" i="60" l="1"/>
  <c r="AT50" i="60" s="1"/>
  <c r="AT49" i="60" s="1"/>
  <c r="AS16" i="60"/>
  <c r="AR15" i="60" s="1"/>
  <c r="AV55" i="60"/>
  <c r="AU17" i="60"/>
  <c r="AT54" i="60"/>
  <c r="F96" i="61"/>
  <c r="G1" i="61"/>
  <c r="F58" i="61"/>
  <c r="G57" i="61"/>
  <c r="AC32" i="61"/>
  <c r="J42" i="61"/>
  <c r="AU51" i="60" l="1"/>
  <c r="AU50" i="60" s="1"/>
  <c r="AU49" i="60" s="1"/>
  <c r="AT16" i="60"/>
  <c r="AS15" i="60" s="1"/>
  <c r="AW55" i="60"/>
  <c r="AV17" i="60"/>
  <c r="AU54" i="60"/>
  <c r="K42" i="61"/>
  <c r="H1" i="61"/>
  <c r="G96" i="61"/>
  <c r="AD32" i="61"/>
  <c r="G58" i="61"/>
  <c r="H57" i="61"/>
  <c r="AV51" i="60" l="1"/>
  <c r="AV50" i="60" s="1"/>
  <c r="AV49" i="60" s="1"/>
  <c r="AU16" i="60"/>
  <c r="AT15" i="60" s="1"/>
  <c r="AX55" i="60"/>
  <c r="AW17" i="60"/>
  <c r="AV54" i="60"/>
  <c r="H96" i="61"/>
  <c r="I1" i="61"/>
  <c r="I57" i="61"/>
  <c r="H58" i="61"/>
  <c r="AE32" i="61"/>
  <c r="L42" i="61"/>
  <c r="BH124" i="60"/>
  <c r="BH120" i="60"/>
  <c r="BH119" i="60"/>
  <c r="BH99" i="60"/>
  <c r="BH90" i="60"/>
  <c r="BH53" i="60"/>
  <c r="BH31" i="60"/>
  <c r="BH12" i="60"/>
  <c r="BH11" i="60"/>
  <c r="BG124" i="60"/>
  <c r="BF124" i="60"/>
  <c r="BE124" i="60"/>
  <c r="BD124" i="60"/>
  <c r="BC124" i="60"/>
  <c r="BB124" i="60"/>
  <c r="BG120" i="60"/>
  <c r="BF120" i="60"/>
  <c r="BE120" i="60"/>
  <c r="BD120" i="60"/>
  <c r="BC120" i="60"/>
  <c r="BB120" i="60"/>
  <c r="BG119" i="60"/>
  <c r="BF119" i="60"/>
  <c r="BE119" i="60"/>
  <c r="BD119" i="60"/>
  <c r="BC119" i="60"/>
  <c r="BB119" i="60"/>
  <c r="BG99" i="60"/>
  <c r="BF99" i="60"/>
  <c r="BE99" i="60"/>
  <c r="BD99" i="60"/>
  <c r="BC99" i="60"/>
  <c r="BB99" i="60"/>
  <c r="BG90" i="60"/>
  <c r="BF90" i="60"/>
  <c r="BE90" i="60"/>
  <c r="BD90" i="60"/>
  <c r="BC90" i="60"/>
  <c r="BB90" i="60"/>
  <c r="BG53" i="60"/>
  <c r="BF53" i="60"/>
  <c r="BE53" i="60"/>
  <c r="BD53" i="60"/>
  <c r="BC53" i="60"/>
  <c r="BB53" i="60"/>
  <c r="BG31" i="60"/>
  <c r="BF31" i="60"/>
  <c r="BE31" i="60"/>
  <c r="BD31" i="60"/>
  <c r="BC31" i="60"/>
  <c r="BB31" i="60"/>
  <c r="BG12" i="60"/>
  <c r="BF12" i="60"/>
  <c r="BE12" i="60"/>
  <c r="BD12" i="60"/>
  <c r="BC12" i="60"/>
  <c r="BB12" i="60"/>
  <c r="BG11" i="60"/>
  <c r="BF11" i="60"/>
  <c r="BE11" i="60"/>
  <c r="BD11" i="60"/>
  <c r="BC11" i="60"/>
  <c r="BB11" i="60"/>
  <c r="BA124" i="60"/>
  <c r="AZ124" i="60"/>
  <c r="AY124" i="60"/>
  <c r="AX124" i="60"/>
  <c r="AW124" i="60"/>
  <c r="AV124" i="60"/>
  <c r="BA120" i="60"/>
  <c r="AZ120" i="60"/>
  <c r="AY120" i="60"/>
  <c r="AX120" i="60"/>
  <c r="AW120" i="60"/>
  <c r="AV120" i="60"/>
  <c r="BA119" i="60"/>
  <c r="AZ119" i="60"/>
  <c r="AY119" i="60"/>
  <c r="AX119" i="60"/>
  <c r="AW119" i="60"/>
  <c r="AV119" i="60"/>
  <c r="BA99" i="60"/>
  <c r="AZ99" i="60"/>
  <c r="AY99" i="60"/>
  <c r="AX99" i="60"/>
  <c r="AW99" i="60"/>
  <c r="AV99" i="60"/>
  <c r="BA90" i="60"/>
  <c r="AZ90" i="60"/>
  <c r="AY90" i="60"/>
  <c r="AX90" i="60"/>
  <c r="AW90" i="60"/>
  <c r="AV90" i="60"/>
  <c r="BA53" i="60"/>
  <c r="AZ53" i="60"/>
  <c r="AY53" i="60"/>
  <c r="AX53" i="60"/>
  <c r="AW53" i="60"/>
  <c r="AV53" i="60"/>
  <c r="BA31" i="60"/>
  <c r="AZ31" i="60"/>
  <c r="AY31" i="60"/>
  <c r="AX31" i="60"/>
  <c r="AW31" i="60"/>
  <c r="AV31" i="60"/>
  <c r="BA12" i="60"/>
  <c r="AZ12" i="60"/>
  <c r="AY12" i="60"/>
  <c r="AX12" i="60"/>
  <c r="AW12" i="60"/>
  <c r="AV12" i="60"/>
  <c r="BA11" i="60"/>
  <c r="AZ11" i="60"/>
  <c r="AY11" i="60"/>
  <c r="AX11" i="60"/>
  <c r="AW11" i="60"/>
  <c r="AV11" i="60"/>
  <c r="AU124" i="60"/>
  <c r="AT124" i="60"/>
  <c r="AS124" i="60"/>
  <c r="AU120" i="60"/>
  <c r="AT120" i="60"/>
  <c r="AS120" i="60"/>
  <c r="AU119" i="60"/>
  <c r="AT119" i="60"/>
  <c r="AS119" i="60"/>
  <c r="AU99" i="60"/>
  <c r="AT99" i="60"/>
  <c r="AS99" i="60"/>
  <c r="AU90" i="60"/>
  <c r="AT90" i="60"/>
  <c r="AS90" i="60"/>
  <c r="AU53" i="60"/>
  <c r="AT53" i="60"/>
  <c r="AS53" i="60"/>
  <c r="AU31" i="60"/>
  <c r="AT31" i="60"/>
  <c r="AS31" i="60"/>
  <c r="AU12" i="60"/>
  <c r="AT12" i="60"/>
  <c r="AS12" i="60"/>
  <c r="AU11" i="60"/>
  <c r="AT11" i="60"/>
  <c r="AS11" i="60"/>
  <c r="AR124" i="60"/>
  <c r="AQ124" i="60"/>
  <c r="AP124" i="60"/>
  <c r="AR120" i="60"/>
  <c r="AQ120" i="60"/>
  <c r="AP120" i="60"/>
  <c r="AR119" i="60"/>
  <c r="AQ119" i="60"/>
  <c r="AP119" i="60"/>
  <c r="AR99" i="60"/>
  <c r="AQ99" i="60"/>
  <c r="AP99" i="60"/>
  <c r="AR90" i="60"/>
  <c r="AQ90" i="60"/>
  <c r="AP90" i="60"/>
  <c r="AR53" i="60"/>
  <c r="AQ53" i="60"/>
  <c r="AP53" i="60"/>
  <c r="AR31" i="60"/>
  <c r="AQ31" i="60"/>
  <c r="AP31" i="60"/>
  <c r="AR12" i="60"/>
  <c r="AQ12" i="60"/>
  <c r="AP12" i="60"/>
  <c r="AR11" i="60"/>
  <c r="AQ11" i="60"/>
  <c r="AP11" i="60"/>
  <c r="AO124" i="60"/>
  <c r="AO120" i="60"/>
  <c r="AO119" i="60"/>
  <c r="AO99" i="60"/>
  <c r="AO90" i="60"/>
  <c r="AO53" i="60"/>
  <c r="AO31" i="60"/>
  <c r="AO12" i="60"/>
  <c r="AO11" i="60"/>
  <c r="AN124" i="60"/>
  <c r="AN120" i="60"/>
  <c r="AN119" i="60"/>
  <c r="AN99" i="60"/>
  <c r="AN90" i="60"/>
  <c r="AN53" i="60"/>
  <c r="AN31" i="60"/>
  <c r="AN12" i="60"/>
  <c r="AN11" i="60"/>
  <c r="AY55" i="60" l="1"/>
  <c r="AX17" i="60"/>
  <c r="AW54" i="60"/>
  <c r="AW51" i="60"/>
  <c r="AW50" i="60" s="1"/>
  <c r="AW49" i="60" s="1"/>
  <c r="AV16" i="60"/>
  <c r="AU15" i="60" s="1"/>
  <c r="M42" i="61"/>
  <c r="I58" i="61"/>
  <c r="J57" i="61"/>
  <c r="I96" i="61"/>
  <c r="J1" i="61"/>
  <c r="AF32" i="61"/>
  <c r="AM12" i="60"/>
  <c r="AL12" i="60"/>
  <c r="AK12" i="60"/>
  <c r="AJ12" i="60"/>
  <c r="AI12" i="60"/>
  <c r="AH12" i="60"/>
  <c r="AG12" i="60"/>
  <c r="AF12" i="60"/>
  <c r="AE12" i="60"/>
  <c r="AD12" i="60"/>
  <c r="AC12" i="60"/>
  <c r="AB12" i="60"/>
  <c r="AA12" i="60"/>
  <c r="Z12" i="60"/>
  <c r="Y12" i="60"/>
  <c r="X12" i="60"/>
  <c r="W12" i="60"/>
  <c r="V12" i="60"/>
  <c r="U12" i="60"/>
  <c r="T12" i="60"/>
  <c r="S12" i="60"/>
  <c r="R12" i="60"/>
  <c r="Q12" i="60"/>
  <c r="P12" i="60"/>
  <c r="AM11" i="60"/>
  <c r="AL11" i="60"/>
  <c r="AK11" i="60"/>
  <c r="AJ11" i="60"/>
  <c r="AI11" i="60"/>
  <c r="AH11" i="60"/>
  <c r="AG11" i="60"/>
  <c r="AF11" i="60"/>
  <c r="AE11" i="60"/>
  <c r="AD11" i="60"/>
  <c r="AC11" i="60"/>
  <c r="AB11" i="60"/>
  <c r="AA11" i="60"/>
  <c r="Z11" i="60"/>
  <c r="Y11" i="60"/>
  <c r="X11" i="60"/>
  <c r="W11" i="60"/>
  <c r="V11" i="60"/>
  <c r="U11" i="60"/>
  <c r="T11" i="60"/>
  <c r="S11" i="60"/>
  <c r="R11" i="60"/>
  <c r="Q11" i="60"/>
  <c r="P11" i="60"/>
  <c r="N12" i="60"/>
  <c r="M12" i="60"/>
  <c r="L12" i="60"/>
  <c r="K12" i="60"/>
  <c r="J12" i="60"/>
  <c r="I12" i="60"/>
  <c r="H12" i="60"/>
  <c r="G12" i="60"/>
  <c r="F12" i="60"/>
  <c r="E12" i="60"/>
  <c r="D12" i="60"/>
  <c r="C12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O12" i="60"/>
  <c r="O11" i="60"/>
  <c r="AX51" i="60" l="1"/>
  <c r="AX50" i="60" s="1"/>
  <c r="AX49" i="60" s="1"/>
  <c r="AW16" i="60"/>
  <c r="AV15" i="60" s="1"/>
  <c r="AZ55" i="60"/>
  <c r="AY17" i="60"/>
  <c r="AX54" i="60"/>
  <c r="AG32" i="61"/>
  <c r="J96" i="61"/>
  <c r="K1" i="61"/>
  <c r="N42" i="61"/>
  <c r="K57" i="61"/>
  <c r="J58" i="61"/>
  <c r="AY51" i="60" l="1"/>
  <c r="AY50" i="60" s="1"/>
  <c r="AY49" i="60" s="1"/>
  <c r="AX16" i="60"/>
  <c r="AW15" i="60" s="1"/>
  <c r="BA55" i="60"/>
  <c r="AZ17" i="60"/>
  <c r="AY54" i="60"/>
  <c r="K58" i="61"/>
  <c r="L57" i="61"/>
  <c r="O42" i="61"/>
  <c r="K96" i="61"/>
  <c r="L1" i="61"/>
  <c r="AH32" i="61"/>
  <c r="AZ51" i="60" l="1"/>
  <c r="AZ50" i="60" s="1"/>
  <c r="AZ49" i="60" s="1"/>
  <c r="AY16" i="60"/>
  <c r="AX15" i="60" s="1"/>
  <c r="BB55" i="60"/>
  <c r="BA17" i="60"/>
  <c r="AZ54" i="60"/>
  <c r="AI32" i="61"/>
  <c r="P42" i="61"/>
  <c r="M57" i="61"/>
  <c r="L58" i="61"/>
  <c r="L96" i="61"/>
  <c r="M1" i="61"/>
  <c r="D66" i="60"/>
  <c r="E66" i="60" s="1"/>
  <c r="F66" i="60" s="1"/>
  <c r="BA51" i="60" l="1"/>
  <c r="BA50" i="60" s="1"/>
  <c r="BA49" i="60" s="1"/>
  <c r="AZ16" i="60"/>
  <c r="AY15" i="60" s="1"/>
  <c r="BC55" i="60"/>
  <c r="BB17" i="60"/>
  <c r="BA54" i="60"/>
  <c r="N57" i="61"/>
  <c r="N1" i="61"/>
  <c r="M96" i="61"/>
  <c r="AJ32" i="61"/>
  <c r="Q42" i="61"/>
  <c r="G66" i="60"/>
  <c r="H66" i="60" s="1"/>
  <c r="I66" i="60" s="1"/>
  <c r="J66" i="60" s="1"/>
  <c r="K66" i="60" s="1"/>
  <c r="L66" i="60" s="1"/>
  <c r="M66" i="60" s="1"/>
  <c r="BB51" i="60" l="1"/>
  <c r="BB50" i="60" s="1"/>
  <c r="BB49" i="60" s="1"/>
  <c r="BA16" i="60"/>
  <c r="AZ15" i="60" s="1"/>
  <c r="BD55" i="60"/>
  <c r="BC17" i="60"/>
  <c r="BB54" i="60"/>
  <c r="N66" i="60"/>
  <c r="M67" i="60"/>
  <c r="N96" i="61"/>
  <c r="O1" i="61"/>
  <c r="AK32" i="61"/>
  <c r="O57" i="61"/>
  <c r="R42" i="61"/>
  <c r="AM120" i="60"/>
  <c r="AL120" i="60"/>
  <c r="AK120" i="60"/>
  <c r="AJ120" i="60"/>
  <c r="AI120" i="60"/>
  <c r="AH120" i="60"/>
  <c r="AG120" i="60"/>
  <c r="AF120" i="60"/>
  <c r="AE120" i="60"/>
  <c r="AD120" i="60"/>
  <c r="AC120" i="60"/>
  <c r="AB120" i="60"/>
  <c r="AA120" i="60"/>
  <c r="Z120" i="60"/>
  <c r="Y120" i="60"/>
  <c r="X120" i="60"/>
  <c r="W120" i="60"/>
  <c r="V120" i="60"/>
  <c r="U120" i="60"/>
  <c r="T120" i="60"/>
  <c r="S120" i="60"/>
  <c r="R120" i="60"/>
  <c r="Q120" i="60"/>
  <c r="P120" i="60"/>
  <c r="O120" i="60"/>
  <c r="N120" i="60"/>
  <c r="M120" i="60"/>
  <c r="L120" i="60"/>
  <c r="K120" i="60"/>
  <c r="J120" i="60"/>
  <c r="I120" i="60"/>
  <c r="H120" i="60"/>
  <c r="G120" i="60"/>
  <c r="F120" i="60"/>
  <c r="E120" i="60"/>
  <c r="D120" i="60"/>
  <c r="AM119" i="60"/>
  <c r="AL119" i="60"/>
  <c r="AK119" i="60"/>
  <c r="AJ119" i="60"/>
  <c r="AI119" i="60"/>
  <c r="AH119" i="60"/>
  <c r="AG119" i="60"/>
  <c r="AF119" i="60"/>
  <c r="AE119" i="60"/>
  <c r="AD119" i="60"/>
  <c r="AC119" i="60"/>
  <c r="AB119" i="60"/>
  <c r="AA119" i="60"/>
  <c r="Z119" i="60"/>
  <c r="Y119" i="60"/>
  <c r="X119" i="60"/>
  <c r="W119" i="60"/>
  <c r="V119" i="60"/>
  <c r="U119" i="60"/>
  <c r="T119" i="60"/>
  <c r="S119" i="60"/>
  <c r="R119" i="60"/>
  <c r="Q119" i="60"/>
  <c r="P119" i="60"/>
  <c r="O119" i="60"/>
  <c r="N119" i="60"/>
  <c r="M119" i="60"/>
  <c r="L119" i="60"/>
  <c r="K119" i="60"/>
  <c r="J119" i="60"/>
  <c r="I119" i="60"/>
  <c r="H119" i="60"/>
  <c r="G119" i="60"/>
  <c r="F119" i="60"/>
  <c r="E119" i="60"/>
  <c r="D119" i="60"/>
  <c r="C113" i="60"/>
  <c r="D113" i="60" s="1"/>
  <c r="E113" i="60" s="1"/>
  <c r="F113" i="60" s="1"/>
  <c r="G113" i="60" s="1"/>
  <c r="H113" i="60" s="1"/>
  <c r="I113" i="60" s="1"/>
  <c r="J113" i="60" s="1"/>
  <c r="K113" i="60" s="1"/>
  <c r="L113" i="60" s="1"/>
  <c r="M113" i="60" s="1"/>
  <c r="N113" i="60" s="1"/>
  <c r="O113" i="60" s="1"/>
  <c r="P113" i="60" s="1"/>
  <c r="Q113" i="60" s="1"/>
  <c r="R113" i="60" s="1"/>
  <c r="S113" i="60" s="1"/>
  <c r="T113" i="60" s="1"/>
  <c r="U113" i="60" s="1"/>
  <c r="V113" i="60" s="1"/>
  <c r="W113" i="60" s="1"/>
  <c r="X113" i="60" s="1"/>
  <c r="Y113" i="60" s="1"/>
  <c r="Z113" i="60" s="1"/>
  <c r="AA113" i="60" s="1"/>
  <c r="AB113" i="60" s="1"/>
  <c r="AC113" i="60" s="1"/>
  <c r="AD113" i="60" s="1"/>
  <c r="AE113" i="60" s="1"/>
  <c r="AF113" i="60" s="1"/>
  <c r="AG113" i="60" s="1"/>
  <c r="AH113" i="60" s="1"/>
  <c r="AI113" i="60" s="1"/>
  <c r="AJ113" i="60" s="1"/>
  <c r="AK113" i="60" s="1"/>
  <c r="AL113" i="60" s="1"/>
  <c r="AM113" i="60" s="1"/>
  <c r="AN113" i="60" s="1"/>
  <c r="AO113" i="60" s="1"/>
  <c r="AP113" i="60" s="1"/>
  <c r="AQ113" i="60" s="1"/>
  <c r="AR113" i="60" s="1"/>
  <c r="AS113" i="60" s="1"/>
  <c r="AT113" i="60" s="1"/>
  <c r="AU113" i="60" s="1"/>
  <c r="AV113" i="60" s="1"/>
  <c r="AW113" i="60" s="1"/>
  <c r="AX113" i="60" s="1"/>
  <c r="AY113" i="60" s="1"/>
  <c r="AZ113" i="60" s="1"/>
  <c r="BA113" i="60" s="1"/>
  <c r="BB113" i="60" s="1"/>
  <c r="BC113" i="60" s="1"/>
  <c r="BD113" i="60" s="1"/>
  <c r="BE113" i="60" s="1"/>
  <c r="BF113" i="60" s="1"/>
  <c r="BG113" i="60" s="1"/>
  <c r="BH113" i="60" s="1"/>
  <c r="C105" i="60"/>
  <c r="D105" i="60" s="1"/>
  <c r="E105" i="60" s="1"/>
  <c r="F105" i="60" s="1"/>
  <c r="G105" i="60" s="1"/>
  <c r="H105" i="60" s="1"/>
  <c r="I105" i="60" s="1"/>
  <c r="J105" i="60" s="1"/>
  <c r="K105" i="60" s="1"/>
  <c r="L105" i="60" s="1"/>
  <c r="M105" i="60" s="1"/>
  <c r="N105" i="60" s="1"/>
  <c r="O105" i="60" s="1"/>
  <c r="P105" i="60" s="1"/>
  <c r="Q105" i="60" s="1"/>
  <c r="R105" i="60" s="1"/>
  <c r="S105" i="60" s="1"/>
  <c r="T105" i="60" s="1"/>
  <c r="U105" i="60" s="1"/>
  <c r="V105" i="60" s="1"/>
  <c r="W105" i="60" s="1"/>
  <c r="X105" i="60" s="1"/>
  <c r="Y105" i="60" s="1"/>
  <c r="Z105" i="60" s="1"/>
  <c r="AA105" i="60" s="1"/>
  <c r="AB105" i="60" s="1"/>
  <c r="AC105" i="60" s="1"/>
  <c r="AD105" i="60" s="1"/>
  <c r="AE105" i="60" s="1"/>
  <c r="AF105" i="60" s="1"/>
  <c r="AG105" i="60" s="1"/>
  <c r="AH105" i="60" s="1"/>
  <c r="AI105" i="60" s="1"/>
  <c r="AJ105" i="60" s="1"/>
  <c r="AK105" i="60" s="1"/>
  <c r="AL105" i="60" s="1"/>
  <c r="AM105" i="60" s="1"/>
  <c r="AN105" i="60" s="1"/>
  <c r="AO105" i="60" s="1"/>
  <c r="AP105" i="60" s="1"/>
  <c r="AQ105" i="60" s="1"/>
  <c r="AR105" i="60" s="1"/>
  <c r="AS105" i="60" s="1"/>
  <c r="AT105" i="60" s="1"/>
  <c r="AU105" i="60" s="1"/>
  <c r="AV105" i="60" s="1"/>
  <c r="AW105" i="60" s="1"/>
  <c r="AX105" i="60" s="1"/>
  <c r="AY105" i="60" s="1"/>
  <c r="AZ105" i="60" s="1"/>
  <c r="BA105" i="60" s="1"/>
  <c r="BB105" i="60" s="1"/>
  <c r="BC105" i="60" s="1"/>
  <c r="BD105" i="60" s="1"/>
  <c r="BE105" i="60" s="1"/>
  <c r="BF105" i="60" s="1"/>
  <c r="BG105" i="60" s="1"/>
  <c r="BH105" i="60" s="1"/>
  <c r="AM99" i="60"/>
  <c r="AL99" i="60"/>
  <c r="AK99" i="60"/>
  <c r="AJ99" i="60"/>
  <c r="AI99" i="60"/>
  <c r="AH99" i="60"/>
  <c r="AG99" i="60"/>
  <c r="AF99" i="60"/>
  <c r="AE99" i="60"/>
  <c r="AD99" i="60"/>
  <c r="AC99" i="60"/>
  <c r="AB99" i="60"/>
  <c r="AA99" i="60"/>
  <c r="Z99" i="60"/>
  <c r="Y99" i="60"/>
  <c r="X99" i="60"/>
  <c r="W99" i="60"/>
  <c r="V99" i="60"/>
  <c r="U99" i="60"/>
  <c r="T99" i="60"/>
  <c r="S99" i="60"/>
  <c r="R99" i="60"/>
  <c r="Q99" i="60"/>
  <c r="P99" i="60"/>
  <c r="O99" i="60"/>
  <c r="N99" i="60"/>
  <c r="M99" i="60"/>
  <c r="L99" i="60"/>
  <c r="K99" i="60"/>
  <c r="J99" i="60"/>
  <c r="I99" i="60"/>
  <c r="H99" i="60"/>
  <c r="G99" i="60"/>
  <c r="F99" i="60"/>
  <c r="E99" i="60"/>
  <c r="D99" i="60"/>
  <c r="AM90" i="60"/>
  <c r="C75" i="60"/>
  <c r="AM53" i="60"/>
  <c r="D38" i="60"/>
  <c r="E38" i="60" s="1"/>
  <c r="F38" i="60" s="1"/>
  <c r="AM31" i="60"/>
  <c r="D28" i="60"/>
  <c r="E28" i="60" s="1"/>
  <c r="F28" i="60" s="1"/>
  <c r="D1" i="60"/>
  <c r="BC51" i="60" l="1"/>
  <c r="BC50" i="60" s="1"/>
  <c r="BC49" i="60" s="1"/>
  <c r="BB16" i="60"/>
  <c r="BA15" i="60" s="1"/>
  <c r="BE55" i="60"/>
  <c r="BD17" i="60"/>
  <c r="BC54" i="60"/>
  <c r="D71" i="60"/>
  <c r="D77" i="60"/>
  <c r="O66" i="60"/>
  <c r="N67" i="60"/>
  <c r="P57" i="61"/>
  <c r="S42" i="61"/>
  <c r="AL32" i="61"/>
  <c r="O96" i="61"/>
  <c r="P1" i="61"/>
  <c r="E1" i="60"/>
  <c r="G38" i="60"/>
  <c r="H38" i="60" s="1"/>
  <c r="I38" i="60" s="1"/>
  <c r="J38" i="60" s="1"/>
  <c r="K38" i="60" s="1"/>
  <c r="L38" i="60" s="1"/>
  <c r="G28" i="60"/>
  <c r="H28" i="60" s="1"/>
  <c r="I28" i="60" s="1"/>
  <c r="J28" i="60" s="1"/>
  <c r="B25" i="53"/>
  <c r="BD51" i="60" l="1"/>
  <c r="BD50" i="60" s="1"/>
  <c r="BD49" i="60" s="1"/>
  <c r="BC16" i="60"/>
  <c r="BB15" i="60" s="1"/>
  <c r="BF55" i="60"/>
  <c r="BE17" i="60"/>
  <c r="BD54" i="60"/>
  <c r="E71" i="60"/>
  <c r="D74" i="60"/>
  <c r="D75" i="60" s="1"/>
  <c r="C70" i="60"/>
  <c r="P66" i="60"/>
  <c r="O67" i="60"/>
  <c r="E77" i="60"/>
  <c r="T42" i="61"/>
  <c r="P96" i="61"/>
  <c r="Q1" i="61"/>
  <c r="AM32" i="61"/>
  <c r="Q57" i="61"/>
  <c r="F1" i="60"/>
  <c r="E67" i="60"/>
  <c r="K67" i="60"/>
  <c r="G67" i="60"/>
  <c r="L67" i="60"/>
  <c r="J67" i="60"/>
  <c r="D67" i="60"/>
  <c r="F67" i="60"/>
  <c r="H67" i="60"/>
  <c r="I67" i="60"/>
  <c r="M38" i="60"/>
  <c r="N38" i="60" s="1"/>
  <c r="O38" i="60" s="1"/>
  <c r="B8" i="59"/>
  <c r="G3" i="56"/>
  <c r="BE51" i="60" l="1"/>
  <c r="BE50" i="60" s="1"/>
  <c r="BE49" i="60" s="1"/>
  <c r="BD16" i="60"/>
  <c r="BC15" i="60" s="1"/>
  <c r="BG55" i="60"/>
  <c r="BF17" i="60"/>
  <c r="BE54" i="60"/>
  <c r="D63" i="60"/>
  <c r="D33" i="60" s="1"/>
  <c r="C32" i="60" s="1"/>
  <c r="E74" i="60"/>
  <c r="E75" i="60" s="1"/>
  <c r="D70" i="60"/>
  <c r="F71" i="60"/>
  <c r="F77" i="60"/>
  <c r="C53" i="60"/>
  <c r="Q66" i="60"/>
  <c r="P67" i="60"/>
  <c r="R1" i="61"/>
  <c r="Q96" i="61"/>
  <c r="R57" i="61"/>
  <c r="U42" i="61"/>
  <c r="AN32" i="61"/>
  <c r="G1" i="60"/>
  <c r="C67" i="60"/>
  <c r="K28" i="60"/>
  <c r="P38" i="60"/>
  <c r="B10" i="53"/>
  <c r="BF51" i="60" l="1"/>
  <c r="BF50" i="60" s="1"/>
  <c r="BF49" i="60" s="1"/>
  <c r="BE16" i="60"/>
  <c r="BD15" i="60" s="1"/>
  <c r="BH55" i="60"/>
  <c r="BG17" i="60"/>
  <c r="BF54" i="60"/>
  <c r="E63" i="60"/>
  <c r="E33" i="60" s="1"/>
  <c r="D32" i="60" s="1"/>
  <c r="G71" i="60"/>
  <c r="F74" i="60"/>
  <c r="F75" i="60" s="1"/>
  <c r="E70" i="60"/>
  <c r="C69" i="60"/>
  <c r="B11" i="53"/>
  <c r="B43" i="53" s="1"/>
  <c r="B39" i="53"/>
  <c r="C18" i="60"/>
  <c r="C25" i="60"/>
  <c r="G77" i="60"/>
  <c r="R66" i="60"/>
  <c r="Q67" i="60"/>
  <c r="D62" i="60"/>
  <c r="D53" i="60"/>
  <c r="F60" i="60"/>
  <c r="F96" i="60" s="1"/>
  <c r="AO32" i="61"/>
  <c r="S1" i="61"/>
  <c r="R96" i="61"/>
  <c r="V42" i="61"/>
  <c r="S57" i="61"/>
  <c r="H1" i="60"/>
  <c r="Q38" i="60"/>
  <c r="L28" i="60"/>
  <c r="D10" i="53"/>
  <c r="B3" i="56"/>
  <c r="H3" i="56" s="1"/>
  <c r="B6" i="58"/>
  <c r="B23" i="59"/>
  <c r="B13" i="59"/>
  <c r="B22" i="58"/>
  <c r="B23" i="58" s="1"/>
  <c r="B14" i="54"/>
  <c r="B12" i="54"/>
  <c r="B11" i="54"/>
  <c r="B10" i="54"/>
  <c r="H26" i="57"/>
  <c r="H25" i="57"/>
  <c r="H24" i="57"/>
  <c r="H23" i="57"/>
  <c r="H22" i="57"/>
  <c r="I22" i="57" s="1"/>
  <c r="H20" i="57"/>
  <c r="H19" i="57"/>
  <c r="H18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I30" i="57"/>
  <c r="B4" i="54" s="1"/>
  <c r="E26" i="57"/>
  <c r="I26" i="57" s="1"/>
  <c r="I25" i="57"/>
  <c r="E25" i="57"/>
  <c r="I24" i="57"/>
  <c r="E23" i="57"/>
  <c r="E20" i="57"/>
  <c r="E19" i="57"/>
  <c r="I19" i="57" s="1"/>
  <c r="E18" i="57"/>
  <c r="I18" i="57" s="1"/>
  <c r="I16" i="57"/>
  <c r="I15" i="57"/>
  <c r="E15" i="57"/>
  <c r="E14" i="57"/>
  <c r="I14" i="57" s="1"/>
  <c r="E13" i="57"/>
  <c r="I13" i="57" s="1"/>
  <c r="E12" i="57"/>
  <c r="E11" i="57"/>
  <c r="I11" i="57" s="1"/>
  <c r="I10" i="57"/>
  <c r="E10" i="57"/>
  <c r="E9" i="57"/>
  <c r="E8" i="57"/>
  <c r="I8" i="57" s="1"/>
  <c r="I7" i="57"/>
  <c r="E7" i="57"/>
  <c r="E6" i="57"/>
  <c r="I6" i="57" s="1"/>
  <c r="E5" i="57"/>
  <c r="I5" i="57" s="1"/>
  <c r="E4" i="57"/>
  <c r="E3" i="57"/>
  <c r="I3" i="57" s="1"/>
  <c r="G9" i="56"/>
  <c r="H9" i="56" s="1"/>
  <c r="G8" i="56"/>
  <c r="H8" i="56" s="1"/>
  <c r="G7" i="56"/>
  <c r="H7" i="56" s="1"/>
  <c r="G6" i="56"/>
  <c r="H6" i="56" s="1"/>
  <c r="G5" i="56"/>
  <c r="H5" i="56" s="1"/>
  <c r="G4" i="56"/>
  <c r="H4" i="56" s="1"/>
  <c r="D5" i="55"/>
  <c r="D4" i="55"/>
  <c r="F4" i="55" s="1"/>
  <c r="J4" i="55" s="1"/>
  <c r="B5" i="54" s="1"/>
  <c r="F3" i="55"/>
  <c r="J3" i="55" s="1"/>
  <c r="B20" i="54"/>
  <c r="B13" i="54"/>
  <c r="B26" i="53"/>
  <c r="B24" i="53"/>
  <c r="F58" i="60" s="1"/>
  <c r="B20" i="53"/>
  <c r="BG51" i="60" l="1"/>
  <c r="BG50" i="60" s="1"/>
  <c r="BG49" i="60" s="1"/>
  <c r="BF16" i="60"/>
  <c r="BE15" i="60" s="1"/>
  <c r="BH17" i="60"/>
  <c r="BI55" i="60"/>
  <c r="BG54" i="60"/>
  <c r="BH54" i="60"/>
  <c r="F63" i="60"/>
  <c r="F33" i="60" s="1"/>
  <c r="E32" i="60" s="1"/>
  <c r="I23" i="57"/>
  <c r="I4" i="57"/>
  <c r="I12" i="57"/>
  <c r="H10" i="56"/>
  <c r="H11" i="56" s="1"/>
  <c r="B19" i="53" s="1"/>
  <c r="B44" i="53" s="1"/>
  <c r="D69" i="60"/>
  <c r="D61" i="60"/>
  <c r="H71" i="60"/>
  <c r="G74" i="60"/>
  <c r="G75" i="60" s="1"/>
  <c r="F70" i="60"/>
  <c r="BF51" i="61"/>
  <c r="BB51" i="61"/>
  <c r="AX51" i="61"/>
  <c r="AT51" i="61"/>
  <c r="AP51" i="61"/>
  <c r="AL51" i="61"/>
  <c r="AH51" i="61"/>
  <c r="AD51" i="61"/>
  <c r="Z51" i="61"/>
  <c r="V51" i="61"/>
  <c r="R51" i="61"/>
  <c r="N51" i="61"/>
  <c r="J51" i="61"/>
  <c r="F51" i="61"/>
  <c r="BG51" i="61"/>
  <c r="BC51" i="61"/>
  <c r="AY51" i="61"/>
  <c r="AU51" i="61"/>
  <c r="AQ51" i="61"/>
  <c r="AM51" i="61"/>
  <c r="AI51" i="61"/>
  <c r="AE51" i="61"/>
  <c r="AA51" i="61"/>
  <c r="W51" i="61"/>
  <c r="S51" i="61"/>
  <c r="O51" i="61"/>
  <c r="K51" i="61"/>
  <c r="G51" i="61"/>
  <c r="C51" i="61"/>
  <c r="C53" i="61" s="1"/>
  <c r="BA51" i="61"/>
  <c r="AS51" i="61"/>
  <c r="AK51" i="61"/>
  <c r="AC51" i="61"/>
  <c r="U51" i="61"/>
  <c r="M51" i="61"/>
  <c r="E51" i="61"/>
  <c r="AZ51" i="61"/>
  <c r="AO51" i="61"/>
  <c r="AF51" i="61"/>
  <c r="T51" i="61"/>
  <c r="I51" i="61"/>
  <c r="BH51" i="61"/>
  <c r="AW51" i="61"/>
  <c r="AN51" i="61"/>
  <c r="AB51" i="61"/>
  <c r="Q51" i="61"/>
  <c r="H51" i="61"/>
  <c r="AV51" i="61"/>
  <c r="Y51" i="61"/>
  <c r="D51" i="61"/>
  <c r="BE51" i="61"/>
  <c r="P51" i="61"/>
  <c r="AR51" i="61"/>
  <c r="X51" i="61"/>
  <c r="AJ51" i="61"/>
  <c r="L51" i="61"/>
  <c r="AG51" i="61"/>
  <c r="BD51" i="61"/>
  <c r="C60" i="60"/>
  <c r="C96" i="60" s="1"/>
  <c r="D60" i="60"/>
  <c r="D96" i="60" s="1"/>
  <c r="E60" i="60"/>
  <c r="E96" i="60" s="1"/>
  <c r="I9" i="57"/>
  <c r="F24" i="53"/>
  <c r="BH50" i="61"/>
  <c r="BD50" i="61"/>
  <c r="AZ50" i="61"/>
  <c r="AV50" i="61"/>
  <c r="AR50" i="61"/>
  <c r="BE50" i="61"/>
  <c r="BA50" i="61"/>
  <c r="AW50" i="61"/>
  <c r="AS50" i="61"/>
  <c r="AO50" i="61"/>
  <c r="AK50" i="61"/>
  <c r="AG50" i="61"/>
  <c r="AC50" i="61"/>
  <c r="Y50" i="61"/>
  <c r="U50" i="61"/>
  <c r="Q50" i="61"/>
  <c r="M50" i="61"/>
  <c r="I50" i="61"/>
  <c r="E50" i="61"/>
  <c r="BC50" i="61"/>
  <c r="AU50" i="61"/>
  <c r="AN50" i="61"/>
  <c r="AI50" i="61"/>
  <c r="AD50" i="61"/>
  <c r="X50" i="61"/>
  <c r="S50" i="61"/>
  <c r="N50" i="61"/>
  <c r="H50" i="61"/>
  <c r="C50" i="61"/>
  <c r="BF50" i="61"/>
  <c r="AT50" i="61"/>
  <c r="AL50" i="61"/>
  <c r="AE50" i="61"/>
  <c r="W50" i="61"/>
  <c r="P50" i="61"/>
  <c r="J50" i="61"/>
  <c r="BB50" i="61"/>
  <c r="AQ50" i="61"/>
  <c r="AJ50" i="61"/>
  <c r="AB50" i="61"/>
  <c r="V50" i="61"/>
  <c r="O50" i="61"/>
  <c r="G50" i="61"/>
  <c r="AP50" i="61"/>
  <c r="AA50" i="61"/>
  <c r="L50" i="61"/>
  <c r="AH50" i="61"/>
  <c r="F50" i="61"/>
  <c r="BG50" i="61"/>
  <c r="AM50" i="61"/>
  <c r="Z50" i="61"/>
  <c r="K50" i="61"/>
  <c r="AY50" i="61"/>
  <c r="T50" i="61"/>
  <c r="D50" i="61"/>
  <c r="AF50" i="61"/>
  <c r="AX50" i="61"/>
  <c r="R50" i="61"/>
  <c r="C58" i="60"/>
  <c r="D58" i="60"/>
  <c r="E58" i="60"/>
  <c r="C15" i="60"/>
  <c r="D18" i="60"/>
  <c r="H77" i="60"/>
  <c r="G60" i="60"/>
  <c r="G96" i="60" s="1"/>
  <c r="G58" i="60"/>
  <c r="E53" i="60"/>
  <c r="E62" i="60"/>
  <c r="S66" i="60"/>
  <c r="R67" i="60"/>
  <c r="S96" i="61"/>
  <c r="T1" i="61"/>
  <c r="T57" i="61"/>
  <c r="W42" i="61"/>
  <c r="AP32" i="61"/>
  <c r="I1" i="60"/>
  <c r="M28" i="60"/>
  <c r="R38" i="60"/>
  <c r="I20" i="57"/>
  <c r="E28" i="57"/>
  <c r="F5" i="55"/>
  <c r="J5" i="55" s="1"/>
  <c r="B6" i="54" s="1"/>
  <c r="B28" i="53"/>
  <c r="B31" i="53" s="1"/>
  <c r="G57" i="60" s="1"/>
  <c r="B29" i="53"/>
  <c r="B13" i="53"/>
  <c r="B40" i="53" s="1"/>
  <c r="B41" i="53" s="1"/>
  <c r="B30" i="53"/>
  <c r="B21" i="53"/>
  <c r="B27" i="53" s="1"/>
  <c r="BH51" i="60" l="1"/>
  <c r="BH50" i="60" s="1"/>
  <c r="BH49" i="60" s="1"/>
  <c r="BG16" i="60"/>
  <c r="BF15" i="60" s="1"/>
  <c r="BI17" i="60"/>
  <c r="BH16" i="60" s="1"/>
  <c r="BG15" i="60" s="1"/>
  <c r="G63" i="60"/>
  <c r="G33" i="60" s="1"/>
  <c r="F32" i="60" s="1"/>
  <c r="I71" i="60"/>
  <c r="H74" i="60"/>
  <c r="H75" i="60" s="1"/>
  <c r="G70" i="60"/>
  <c r="E69" i="60"/>
  <c r="E61" i="60"/>
  <c r="D53" i="61"/>
  <c r="D54" i="61" s="1"/>
  <c r="BH56" i="61"/>
  <c r="BH53" i="61"/>
  <c r="BA53" i="61"/>
  <c r="BA54" i="61" s="1"/>
  <c r="BA56" i="61"/>
  <c r="V56" i="61"/>
  <c r="V53" i="61"/>
  <c r="V54" i="61" s="1"/>
  <c r="AG53" i="61"/>
  <c r="AG54" i="61" s="1"/>
  <c r="AG56" i="61"/>
  <c r="AR53" i="61"/>
  <c r="AR54" i="61" s="1"/>
  <c r="AR56" i="61"/>
  <c r="Y53" i="61"/>
  <c r="Y54" i="61" s="1"/>
  <c r="Y56" i="61"/>
  <c r="AB53" i="61"/>
  <c r="AB54" i="61" s="1"/>
  <c r="AB56" i="61"/>
  <c r="I53" i="61"/>
  <c r="I54" i="61" s="1"/>
  <c r="AZ56" i="61"/>
  <c r="AZ53" i="61"/>
  <c r="AZ54" i="61" s="1"/>
  <c r="AC56" i="61"/>
  <c r="AC53" i="61"/>
  <c r="AC54" i="61" s="1"/>
  <c r="C55" i="61"/>
  <c r="C54" i="61"/>
  <c r="S56" i="61"/>
  <c r="S58" i="61" s="1"/>
  <c r="S53" i="61"/>
  <c r="AI53" i="61"/>
  <c r="AI54" i="61" s="1"/>
  <c r="AI56" i="61"/>
  <c r="AY56" i="61"/>
  <c r="AY53" i="61"/>
  <c r="AY54" i="61" s="1"/>
  <c r="J53" i="61"/>
  <c r="J54" i="61" s="1"/>
  <c r="Z56" i="61"/>
  <c r="Z53" i="61"/>
  <c r="Z54" i="61" s="1"/>
  <c r="AP56" i="61"/>
  <c r="AP53" i="61"/>
  <c r="AP54" i="61" s="1"/>
  <c r="BF56" i="61"/>
  <c r="BF53" i="61"/>
  <c r="BF54" i="61" s="1"/>
  <c r="AL53" i="61"/>
  <c r="AL54" i="61" s="1"/>
  <c r="AL56" i="61"/>
  <c r="AL55" i="61"/>
  <c r="L53" i="61"/>
  <c r="L54" i="61" s="1"/>
  <c r="P56" i="61"/>
  <c r="P58" i="61" s="1"/>
  <c r="P53" i="61"/>
  <c r="P54" i="61" s="1"/>
  <c r="AV53" i="61"/>
  <c r="AV54" i="61" s="1"/>
  <c r="AV56" i="61"/>
  <c r="AV55" i="61"/>
  <c r="AN56" i="61"/>
  <c r="AN53" i="61"/>
  <c r="AN54" i="61" s="1"/>
  <c r="AN55" i="61"/>
  <c r="T53" i="61"/>
  <c r="T54" i="61" s="1"/>
  <c r="T56" i="61"/>
  <c r="T58" i="61" s="1"/>
  <c r="E53" i="61"/>
  <c r="E54" i="61" s="1"/>
  <c r="E55" i="61"/>
  <c r="AK53" i="61"/>
  <c r="AK54" i="61" s="1"/>
  <c r="AK56" i="61"/>
  <c r="G53" i="61"/>
  <c r="G54" i="61" s="1"/>
  <c r="W56" i="61"/>
  <c r="W53" i="61"/>
  <c r="W54" i="61" s="1"/>
  <c r="AM56" i="61"/>
  <c r="AM53" i="61"/>
  <c r="AM54" i="61" s="1"/>
  <c r="BC56" i="61"/>
  <c r="BC53" i="61"/>
  <c r="BC54" i="61" s="1"/>
  <c r="BC55" i="61"/>
  <c r="N53" i="61"/>
  <c r="N54" i="61" s="1"/>
  <c r="N56" i="61"/>
  <c r="N58" i="61" s="1"/>
  <c r="AD53" i="61"/>
  <c r="AD54" i="61" s="1"/>
  <c r="AD56" i="61"/>
  <c r="AD55" i="61"/>
  <c r="AT56" i="61"/>
  <c r="AT53" i="61"/>
  <c r="AT54" i="61" s="1"/>
  <c r="BG49" i="61"/>
  <c r="BC49" i="61"/>
  <c r="AY49" i="61"/>
  <c r="AU49" i="61"/>
  <c r="BD49" i="61"/>
  <c r="AX49" i="61"/>
  <c r="AS49" i="61"/>
  <c r="AO49" i="61"/>
  <c r="AK49" i="61"/>
  <c r="AG49" i="61"/>
  <c r="AC49" i="61"/>
  <c r="Y49" i="61"/>
  <c r="U49" i="61"/>
  <c r="Q49" i="61"/>
  <c r="M49" i="61"/>
  <c r="I49" i="61"/>
  <c r="E49" i="61"/>
  <c r="BH49" i="61"/>
  <c r="BA49" i="61"/>
  <c r="AT49" i="61"/>
  <c r="AN49" i="61"/>
  <c r="AI49" i="61"/>
  <c r="AD49" i="61"/>
  <c r="X49" i="61"/>
  <c r="S49" i="61"/>
  <c r="N49" i="61"/>
  <c r="H49" i="61"/>
  <c r="C49" i="61"/>
  <c r="BF49" i="61"/>
  <c r="AZ49" i="61"/>
  <c r="AR49" i="61"/>
  <c r="AM49" i="61"/>
  <c r="AH49" i="61"/>
  <c r="AB49" i="61"/>
  <c r="W49" i="61"/>
  <c r="R49" i="61"/>
  <c r="L49" i="61"/>
  <c r="G49" i="61"/>
  <c r="BE49" i="61"/>
  <c r="AQ49" i="61"/>
  <c r="AF49" i="61"/>
  <c r="V49" i="61"/>
  <c r="K49" i="61"/>
  <c r="AL49" i="61"/>
  <c r="P49" i="61"/>
  <c r="BB49" i="61"/>
  <c r="AP49" i="61"/>
  <c r="AE49" i="61"/>
  <c r="T49" i="61"/>
  <c r="J49" i="61"/>
  <c r="AW49" i="61"/>
  <c r="AA49" i="61"/>
  <c r="F49" i="61"/>
  <c r="O49" i="61"/>
  <c r="AV49" i="61"/>
  <c r="D49" i="61"/>
  <c r="AJ49" i="61"/>
  <c r="Z49" i="61"/>
  <c r="C57" i="60"/>
  <c r="D57" i="60"/>
  <c r="E57" i="60"/>
  <c r="F57" i="60"/>
  <c r="BD53" i="61"/>
  <c r="BD54" i="61" s="1"/>
  <c r="BD56" i="61"/>
  <c r="X56" i="61"/>
  <c r="X53" i="61"/>
  <c r="X54" i="61" s="1"/>
  <c r="Q53" i="61"/>
  <c r="Q54" i="61" s="1"/>
  <c r="Q56" i="61"/>
  <c r="Q58" i="61" s="1"/>
  <c r="AO53" i="61"/>
  <c r="AO54" i="61" s="1"/>
  <c r="AO56" i="61"/>
  <c r="U56" i="61"/>
  <c r="U53" i="61"/>
  <c r="U54" i="61" s="1"/>
  <c r="U55" i="61"/>
  <c r="O53" i="61"/>
  <c r="O54" i="61" s="1"/>
  <c r="O56" i="61"/>
  <c r="O58" i="61" s="1"/>
  <c r="AE56" i="61"/>
  <c r="AE53" i="61"/>
  <c r="AU53" i="61"/>
  <c r="AU56" i="61"/>
  <c r="F53" i="61"/>
  <c r="F54" i="61" s="1"/>
  <c r="BB56" i="61"/>
  <c r="BB53" i="61"/>
  <c r="BB54" i="61" s="1"/>
  <c r="BB55" i="61"/>
  <c r="I28" i="57"/>
  <c r="B3" i="54" s="1"/>
  <c r="AJ56" i="61"/>
  <c r="AJ53" i="61"/>
  <c r="AJ54" i="61" s="1"/>
  <c r="BE56" i="61"/>
  <c r="BE53" i="61"/>
  <c r="BE54" i="61" s="1"/>
  <c r="H53" i="61"/>
  <c r="H54" i="61" s="1"/>
  <c r="AW53" i="61"/>
  <c r="AW54" i="61" s="1"/>
  <c r="AW56" i="61"/>
  <c r="AF53" i="61"/>
  <c r="AF54" i="61" s="1"/>
  <c r="AF56" i="61"/>
  <c r="M53" i="61"/>
  <c r="M54" i="61" s="1"/>
  <c r="M56" i="61"/>
  <c r="M58" i="61" s="1"/>
  <c r="AS56" i="61"/>
  <c r="AS53" i="61"/>
  <c r="AS54" i="61" s="1"/>
  <c r="K53" i="61"/>
  <c r="K54" i="61" s="1"/>
  <c r="AA53" i="61"/>
  <c r="AA54" i="61" s="1"/>
  <c r="AA56" i="61"/>
  <c r="AA55" i="61"/>
  <c r="AQ53" i="61"/>
  <c r="AQ54" i="61" s="1"/>
  <c r="AQ56" i="61"/>
  <c r="BG53" i="61"/>
  <c r="BG54" i="61" s="1"/>
  <c r="BG56" i="61"/>
  <c r="R56" i="61"/>
  <c r="R58" i="61" s="1"/>
  <c r="R53" i="61"/>
  <c r="R54" i="61" s="1"/>
  <c r="AH56" i="61"/>
  <c r="AH53" i="61"/>
  <c r="AH54" i="61" s="1"/>
  <c r="AX56" i="61"/>
  <c r="AX53" i="61"/>
  <c r="AX54" i="61" s="1"/>
  <c r="D15" i="60"/>
  <c r="E18" i="60"/>
  <c r="H60" i="60"/>
  <c r="H96" i="60" s="1"/>
  <c r="H58" i="60"/>
  <c r="H57" i="60"/>
  <c r="F53" i="60"/>
  <c r="I77" i="60"/>
  <c r="T66" i="60"/>
  <c r="S67" i="60"/>
  <c r="F62" i="60"/>
  <c r="X42" i="61"/>
  <c r="U57" i="61"/>
  <c r="T96" i="61"/>
  <c r="U1" i="61"/>
  <c r="AQ32" i="61"/>
  <c r="J1" i="60"/>
  <c r="B14" i="53"/>
  <c r="S38" i="60"/>
  <c r="N28" i="60"/>
  <c r="H63" i="60" l="1"/>
  <c r="H33" i="60" s="1"/>
  <c r="G32" i="60" s="1"/>
  <c r="AH55" i="61"/>
  <c r="AQ55" i="61"/>
  <c r="H55" i="61"/>
  <c r="AJ55" i="61"/>
  <c r="BD55" i="61"/>
  <c r="Y55" i="61"/>
  <c r="AX55" i="61"/>
  <c r="M55" i="61"/>
  <c r="O55" i="61"/>
  <c r="W55" i="61"/>
  <c r="BF55" i="61"/>
  <c r="AZ55" i="61"/>
  <c r="AB55" i="61"/>
  <c r="BA55" i="61"/>
  <c r="AS55" i="61"/>
  <c r="AK55" i="61"/>
  <c r="P55" i="61"/>
  <c r="Z55" i="61"/>
  <c r="AC55" i="61"/>
  <c r="D55" i="61"/>
  <c r="F61" i="60"/>
  <c r="F69" i="60"/>
  <c r="J71" i="60"/>
  <c r="I74" i="60"/>
  <c r="I75" i="60" s="1"/>
  <c r="H70" i="60"/>
  <c r="X55" i="61"/>
  <c r="AT55" i="61"/>
  <c r="AM55" i="61"/>
  <c r="J55" i="61"/>
  <c r="S55" i="61"/>
  <c r="S54" i="61"/>
  <c r="V55" i="61"/>
  <c r="AU55" i="61"/>
  <c r="AU54" i="61"/>
  <c r="BG55" i="61"/>
  <c r="Q55" i="61"/>
  <c r="R55" i="61"/>
  <c r="K55" i="61"/>
  <c r="AF55" i="61"/>
  <c r="AW55" i="61"/>
  <c r="BE55" i="61"/>
  <c r="F55" i="61"/>
  <c r="AE55" i="61"/>
  <c r="AE54" i="61"/>
  <c r="AO55" i="61"/>
  <c r="N55" i="61"/>
  <c r="G55" i="61"/>
  <c r="T55" i="61"/>
  <c r="L55" i="61"/>
  <c r="AP55" i="61"/>
  <c r="AY55" i="61"/>
  <c r="AI55" i="61"/>
  <c r="I55" i="61"/>
  <c r="AR55" i="61"/>
  <c r="AG55" i="61"/>
  <c r="BH55" i="61"/>
  <c r="BH54" i="61"/>
  <c r="U66" i="60"/>
  <c r="T67" i="60"/>
  <c r="E15" i="60"/>
  <c r="F18" i="60"/>
  <c r="G53" i="60"/>
  <c r="I58" i="60"/>
  <c r="I60" i="60"/>
  <c r="I96" i="60" s="1"/>
  <c r="I57" i="60"/>
  <c r="G62" i="60"/>
  <c r="J77" i="60"/>
  <c r="V1" i="61"/>
  <c r="U96" i="61"/>
  <c r="AR32" i="61"/>
  <c r="V57" i="61"/>
  <c r="U58" i="61"/>
  <c r="Y42" i="61"/>
  <c r="K1" i="60"/>
  <c r="T38" i="60"/>
  <c r="O28" i="60"/>
  <c r="I63" i="60" l="1"/>
  <c r="I33" i="60" s="1"/>
  <c r="H32" i="60" s="1"/>
  <c r="K71" i="60"/>
  <c r="J74" i="60"/>
  <c r="J75" i="60" s="1"/>
  <c r="I70" i="60"/>
  <c r="G61" i="60"/>
  <c r="G69" i="60"/>
  <c r="H62" i="60"/>
  <c r="F15" i="60"/>
  <c r="G18" i="60"/>
  <c r="H53" i="60"/>
  <c r="J58" i="60"/>
  <c r="J60" i="60"/>
  <c r="J96" i="60" s="1"/>
  <c r="J57" i="60"/>
  <c r="K77" i="60"/>
  <c r="V66" i="60"/>
  <c r="U67" i="60"/>
  <c r="Z42" i="61"/>
  <c r="AS32" i="61"/>
  <c r="W57" i="61"/>
  <c r="V58" i="61"/>
  <c r="V96" i="61"/>
  <c r="W1" i="61"/>
  <c r="L1" i="60"/>
  <c r="P28" i="60"/>
  <c r="U38" i="60"/>
  <c r="B32" i="19"/>
  <c r="D8" i="19"/>
  <c r="B34" i="19" s="1"/>
  <c r="J63" i="60" l="1"/>
  <c r="J33" i="60" s="1"/>
  <c r="I32" i="60" s="1"/>
  <c r="H69" i="60"/>
  <c r="L71" i="60"/>
  <c r="K74" i="60"/>
  <c r="K75" i="60" s="1"/>
  <c r="J70" i="60"/>
  <c r="K60" i="60"/>
  <c r="K96" i="60" s="1"/>
  <c r="K58" i="60"/>
  <c r="K57" i="60"/>
  <c r="I53" i="60"/>
  <c r="G15" i="60"/>
  <c r="H18" i="60"/>
  <c r="H61" i="60"/>
  <c r="L77" i="60"/>
  <c r="W66" i="60"/>
  <c r="V67" i="60"/>
  <c r="I62" i="60"/>
  <c r="I64" i="60" s="1"/>
  <c r="X57" i="61"/>
  <c r="W58" i="61"/>
  <c r="AT32" i="61"/>
  <c r="X1" i="61"/>
  <c r="W96" i="61"/>
  <c r="AA42" i="61"/>
  <c r="M1" i="60"/>
  <c r="V38" i="60"/>
  <c r="Q28" i="60"/>
  <c r="D19" i="19"/>
  <c r="I86" i="60" l="1"/>
  <c r="I89" i="60" s="1"/>
  <c r="I87" i="60"/>
  <c r="K63" i="60"/>
  <c r="K33" i="60" s="1"/>
  <c r="J32" i="60" s="1"/>
  <c r="M71" i="60"/>
  <c r="L74" i="60"/>
  <c r="L75" i="60" s="1"/>
  <c r="K70" i="60"/>
  <c r="I69" i="60"/>
  <c r="X66" i="60"/>
  <c r="W67" i="60"/>
  <c r="H15" i="60"/>
  <c r="I18" i="60"/>
  <c r="L60" i="60"/>
  <c r="L96" i="60" s="1"/>
  <c r="L58" i="60"/>
  <c r="L57" i="60"/>
  <c r="J53" i="60"/>
  <c r="J62" i="60"/>
  <c r="J64" i="60" s="1"/>
  <c r="I61" i="60"/>
  <c r="I98" i="60"/>
  <c r="M77" i="60"/>
  <c r="AB42" i="61"/>
  <c r="Y57" i="61"/>
  <c r="X58" i="61"/>
  <c r="AU32" i="61"/>
  <c r="X96" i="61"/>
  <c r="Y1" i="61"/>
  <c r="N1" i="60"/>
  <c r="W38" i="60"/>
  <c r="R28" i="60"/>
  <c r="J86" i="60" l="1"/>
  <c r="J89" i="60" s="1"/>
  <c r="J87" i="60"/>
  <c r="L63" i="60"/>
  <c r="L33" i="60" s="1"/>
  <c r="K32" i="60" s="1"/>
  <c r="J69" i="60"/>
  <c r="N71" i="60"/>
  <c r="M74" i="60"/>
  <c r="M75" i="60" s="1"/>
  <c r="L70" i="60"/>
  <c r="K62" i="60"/>
  <c r="K64" i="60" s="1"/>
  <c r="M60" i="60"/>
  <c r="M96" i="60" s="1"/>
  <c r="M57" i="60"/>
  <c r="K53" i="60"/>
  <c r="M58" i="60"/>
  <c r="N77" i="60"/>
  <c r="J18" i="60"/>
  <c r="I15" i="60"/>
  <c r="J61" i="60"/>
  <c r="J98" i="60"/>
  <c r="Y66" i="60"/>
  <c r="X67" i="60"/>
  <c r="Y96" i="61"/>
  <c r="Z1" i="61"/>
  <c r="AV32" i="61"/>
  <c r="Z57" i="61"/>
  <c r="Y58" i="61"/>
  <c r="AC42" i="61"/>
  <c r="O1" i="60"/>
  <c r="X38" i="60"/>
  <c r="S28" i="60"/>
  <c r="K87" i="60" l="1"/>
  <c r="K86" i="60"/>
  <c r="K89" i="60" s="1"/>
  <c r="M63" i="60"/>
  <c r="M33" i="60" s="1"/>
  <c r="L32" i="60" s="1"/>
  <c r="K69" i="60"/>
  <c r="O71" i="60"/>
  <c r="N74" i="60"/>
  <c r="N75" i="60" s="1"/>
  <c r="M70" i="60"/>
  <c r="L53" i="60"/>
  <c r="N60" i="60"/>
  <c r="N96" i="60" s="1"/>
  <c r="N57" i="60"/>
  <c r="N58" i="60"/>
  <c r="M130" i="60"/>
  <c r="Z66" i="60"/>
  <c r="Y67" i="60"/>
  <c r="L62" i="60"/>
  <c r="L64" i="60" s="1"/>
  <c r="K61" i="60"/>
  <c r="K98" i="60"/>
  <c r="O77" i="60"/>
  <c r="K18" i="60"/>
  <c r="J15" i="60"/>
  <c r="AA57" i="61"/>
  <c r="Z58" i="61"/>
  <c r="AW32" i="61"/>
  <c r="Z96" i="61"/>
  <c r="AA1" i="61"/>
  <c r="AD42" i="61"/>
  <c r="P1" i="60"/>
  <c r="Y38" i="60"/>
  <c r="T28" i="60"/>
  <c r="L87" i="60" l="1"/>
  <c r="L86" i="60"/>
  <c r="L89" i="60" s="1"/>
  <c r="N63" i="60"/>
  <c r="N33" i="60" s="1"/>
  <c r="M32" i="60" s="1"/>
  <c r="P71" i="60"/>
  <c r="O74" i="60"/>
  <c r="O75" i="60" s="1"/>
  <c r="N70" i="60"/>
  <c r="L69" i="60"/>
  <c r="AA66" i="60"/>
  <c r="Z67" i="60"/>
  <c r="M62" i="60"/>
  <c r="M64" i="60" s="1"/>
  <c r="L18" i="60"/>
  <c r="K15" i="60"/>
  <c r="N130" i="60"/>
  <c r="O60" i="60"/>
  <c r="O96" i="60" s="1"/>
  <c r="O58" i="60"/>
  <c r="O57" i="60"/>
  <c r="M53" i="60"/>
  <c r="P77" i="60"/>
  <c r="L98" i="60"/>
  <c r="L61" i="60"/>
  <c r="AB57" i="61"/>
  <c r="AA58" i="61"/>
  <c r="AE42" i="61"/>
  <c r="AX32" i="61"/>
  <c r="AA96" i="61"/>
  <c r="AB1" i="61"/>
  <c r="Q1" i="60"/>
  <c r="Z38" i="60"/>
  <c r="U28" i="60"/>
  <c r="M86" i="60" l="1"/>
  <c r="M89" i="60" s="1"/>
  <c r="M87" i="60"/>
  <c r="O63" i="60"/>
  <c r="O33" i="60" s="1"/>
  <c r="N32" i="60" s="1"/>
  <c r="M69" i="60"/>
  <c r="Q71" i="60"/>
  <c r="P74" i="60"/>
  <c r="P75" i="60" s="1"/>
  <c r="O70" i="60"/>
  <c r="M61" i="60"/>
  <c r="M98" i="60"/>
  <c r="Q77" i="60"/>
  <c r="P60" i="60"/>
  <c r="P96" i="60" s="1"/>
  <c r="P58" i="60"/>
  <c r="P57" i="60"/>
  <c r="N53" i="60"/>
  <c r="O130" i="60"/>
  <c r="N62" i="60"/>
  <c r="N64" i="60" s="1"/>
  <c r="L15" i="60"/>
  <c r="M18" i="60"/>
  <c r="AB66" i="60"/>
  <c r="AA67" i="60"/>
  <c r="AB96" i="61"/>
  <c r="AC1" i="61"/>
  <c r="AY32" i="61"/>
  <c r="AC57" i="61"/>
  <c r="AB58" i="61"/>
  <c r="AF42" i="61"/>
  <c r="R1" i="60"/>
  <c r="V28" i="60"/>
  <c r="AA38" i="60"/>
  <c r="N86" i="60" l="1"/>
  <c r="N89" i="60" s="1"/>
  <c r="N87" i="60"/>
  <c r="P63" i="60"/>
  <c r="P33" i="60" s="1"/>
  <c r="O32" i="60" s="1"/>
  <c r="N69" i="60"/>
  <c r="R71" i="60"/>
  <c r="Q74" i="60"/>
  <c r="Q75" i="60" s="1"/>
  <c r="P70" i="60"/>
  <c r="M15" i="60"/>
  <c r="N18" i="60"/>
  <c r="O53" i="60"/>
  <c r="Q58" i="60"/>
  <c r="Q60" i="60"/>
  <c r="Q96" i="60" s="1"/>
  <c r="Q57" i="60"/>
  <c r="AC66" i="60"/>
  <c r="AB67" i="60"/>
  <c r="O62" i="60"/>
  <c r="O64" i="60" s="1"/>
  <c r="P130" i="60"/>
  <c r="R77" i="60"/>
  <c r="N61" i="60"/>
  <c r="N98" i="60"/>
  <c r="AG42" i="61"/>
  <c r="AD57" i="61"/>
  <c r="AC58" i="61"/>
  <c r="AD1" i="61"/>
  <c r="AC96" i="61"/>
  <c r="AZ32" i="61"/>
  <c r="S1" i="60"/>
  <c r="W28" i="60"/>
  <c r="AB38" i="60"/>
  <c r="O87" i="60" l="1"/>
  <c r="O86" i="60"/>
  <c r="O89" i="60" s="1"/>
  <c r="Q63" i="60"/>
  <c r="Q33" i="60" s="1"/>
  <c r="P32" i="60" s="1"/>
  <c r="S71" i="60"/>
  <c r="R74" i="60"/>
  <c r="R75" i="60" s="1"/>
  <c r="Q70" i="60"/>
  <c r="O69" i="60"/>
  <c r="S77" i="60"/>
  <c r="Q130" i="60"/>
  <c r="O61" i="60"/>
  <c r="O98" i="60"/>
  <c r="O18" i="60"/>
  <c r="N15" i="60"/>
  <c r="P62" i="60"/>
  <c r="P64" i="60" s="1"/>
  <c r="P53" i="60"/>
  <c r="R58" i="60"/>
  <c r="R60" i="60"/>
  <c r="R96" i="60" s="1"/>
  <c r="R57" i="60"/>
  <c r="AD66" i="60"/>
  <c r="AC67" i="60"/>
  <c r="AE57" i="61"/>
  <c r="AD58" i="61"/>
  <c r="AD96" i="61"/>
  <c r="AE1" i="61"/>
  <c r="AH42" i="61"/>
  <c r="BA32" i="61"/>
  <c r="T1" i="60"/>
  <c r="D124" i="60"/>
  <c r="AC38" i="60"/>
  <c r="X28" i="60"/>
  <c r="P87" i="60" l="1"/>
  <c r="P86" i="60"/>
  <c r="P89" i="60" s="1"/>
  <c r="R63" i="60"/>
  <c r="R33" i="60" s="1"/>
  <c r="Q32" i="60" s="1"/>
  <c r="P69" i="60"/>
  <c r="T71" i="60"/>
  <c r="S74" i="60"/>
  <c r="S75" i="60" s="1"/>
  <c r="R70" i="60"/>
  <c r="O15" i="60"/>
  <c r="P18" i="60"/>
  <c r="P61" i="60"/>
  <c r="P98" i="60"/>
  <c r="Q62" i="60"/>
  <c r="Q64" i="60" s="1"/>
  <c r="T77" i="60"/>
  <c r="R130" i="60"/>
  <c r="AE66" i="60"/>
  <c r="AD67" i="60"/>
  <c r="S60" i="60"/>
  <c r="S96" i="60" s="1"/>
  <c r="S58" i="60"/>
  <c r="S57" i="60"/>
  <c r="Q53" i="60"/>
  <c r="BB32" i="61"/>
  <c r="AI42" i="61"/>
  <c r="AF1" i="61"/>
  <c r="AE96" i="61"/>
  <c r="AF57" i="61"/>
  <c r="AE58" i="61"/>
  <c r="U1" i="60"/>
  <c r="Y28" i="60"/>
  <c r="AD38" i="60"/>
  <c r="Q86" i="60" l="1"/>
  <c r="Q89" i="60" s="1"/>
  <c r="Q87" i="60"/>
  <c r="S63" i="60"/>
  <c r="S33" i="60" s="1"/>
  <c r="R32" i="60" s="1"/>
  <c r="U71" i="60"/>
  <c r="T74" i="60"/>
  <c r="T75" i="60" s="1"/>
  <c r="S70" i="60"/>
  <c r="Q69" i="60"/>
  <c r="Q61" i="60"/>
  <c r="Q98" i="60"/>
  <c r="AF66" i="60"/>
  <c r="AE67" i="60"/>
  <c r="T60" i="60"/>
  <c r="T96" i="60" s="1"/>
  <c r="T58" i="60"/>
  <c r="T57" i="60"/>
  <c r="R53" i="60"/>
  <c r="Q18" i="60"/>
  <c r="P15" i="60"/>
  <c r="U77" i="60"/>
  <c r="S130" i="60"/>
  <c r="R62" i="60"/>
  <c r="R64" i="60" s="1"/>
  <c r="AG57" i="61"/>
  <c r="AF58" i="61"/>
  <c r="AF96" i="61"/>
  <c r="AG1" i="61"/>
  <c r="AJ42" i="61"/>
  <c r="BC32" i="61"/>
  <c r="V1" i="60"/>
  <c r="AE38" i="60"/>
  <c r="Z28" i="60"/>
  <c r="R86" i="60" l="1"/>
  <c r="R89" i="60" s="1"/>
  <c r="R87" i="60"/>
  <c r="T63" i="60"/>
  <c r="T33" i="60" s="1"/>
  <c r="S32" i="60" s="1"/>
  <c r="R69" i="60"/>
  <c r="V71" i="60"/>
  <c r="U74" i="60"/>
  <c r="U75" i="60" s="1"/>
  <c r="T70" i="60"/>
  <c r="V77" i="60"/>
  <c r="S53" i="60"/>
  <c r="U60" i="60"/>
  <c r="U96" i="60" s="1"/>
  <c r="U57" i="60"/>
  <c r="U58" i="60"/>
  <c r="AG66" i="60"/>
  <c r="AF67" i="60"/>
  <c r="R61" i="60"/>
  <c r="R98" i="60"/>
  <c r="R25" i="60"/>
  <c r="R18" i="60"/>
  <c r="Q15" i="60"/>
  <c r="T130" i="60"/>
  <c r="S62" i="60"/>
  <c r="S64" i="60" s="1"/>
  <c r="BD32" i="61"/>
  <c r="AK42" i="61"/>
  <c r="AH1" i="61"/>
  <c r="AG96" i="61"/>
  <c r="AH57" i="61"/>
  <c r="AG58" i="61"/>
  <c r="W1" i="60"/>
  <c r="AF38" i="60"/>
  <c r="AA28" i="60"/>
  <c r="S87" i="60" l="1"/>
  <c r="S86" i="60"/>
  <c r="S89" i="60" s="1"/>
  <c r="U63" i="60"/>
  <c r="U33" i="60" s="1"/>
  <c r="T32" i="60" s="1"/>
  <c r="S69" i="60"/>
  <c r="W71" i="60"/>
  <c r="V74" i="60"/>
  <c r="V75" i="60" s="1"/>
  <c r="U70" i="60"/>
  <c r="W77" i="60"/>
  <c r="AH66" i="60"/>
  <c r="AG67" i="60"/>
  <c r="R15" i="60"/>
  <c r="S18" i="60"/>
  <c r="S25" i="60"/>
  <c r="S61" i="60"/>
  <c r="S98" i="60"/>
  <c r="T62" i="60"/>
  <c r="T64" i="60" s="1"/>
  <c r="U130" i="60"/>
  <c r="T53" i="60"/>
  <c r="V60" i="60"/>
  <c r="V96" i="60" s="1"/>
  <c r="V57" i="60"/>
  <c r="V58" i="60"/>
  <c r="AI57" i="61"/>
  <c r="AH58" i="61"/>
  <c r="AL42" i="61"/>
  <c r="AH96" i="61"/>
  <c r="AI1" i="61"/>
  <c r="BE32" i="61"/>
  <c r="X1" i="60"/>
  <c r="AG38" i="60"/>
  <c r="AB28" i="60"/>
  <c r="T87" i="60" l="1"/>
  <c r="T86" i="60"/>
  <c r="T89" i="60" s="1"/>
  <c r="V63" i="60"/>
  <c r="V33" i="60" s="1"/>
  <c r="U32" i="60" s="1"/>
  <c r="X71" i="60"/>
  <c r="W74" i="60"/>
  <c r="W75" i="60" s="1"/>
  <c r="V70" i="60"/>
  <c r="T69" i="60"/>
  <c r="X77" i="60"/>
  <c r="V130" i="60"/>
  <c r="U62" i="60"/>
  <c r="U64" i="60" s="1"/>
  <c r="T61" i="60"/>
  <c r="T98" i="60"/>
  <c r="T25" i="60"/>
  <c r="T18" i="60"/>
  <c r="S15" i="60"/>
  <c r="AI66" i="60"/>
  <c r="AH67" i="60"/>
  <c r="W60" i="60"/>
  <c r="W96" i="60" s="1"/>
  <c r="W58" i="60"/>
  <c r="W57" i="60"/>
  <c r="U53" i="60"/>
  <c r="BF32" i="61"/>
  <c r="AM42" i="61"/>
  <c r="AI96" i="61"/>
  <c r="AJ1" i="61"/>
  <c r="AJ57" i="61"/>
  <c r="AI58" i="61"/>
  <c r="Y1" i="60"/>
  <c r="E124" i="60"/>
  <c r="AH38" i="60"/>
  <c r="AC28" i="60"/>
  <c r="B51" i="27"/>
  <c r="B59" i="27"/>
  <c r="B61" i="27" s="1"/>
  <c r="B57" i="27"/>
  <c r="B60" i="27"/>
  <c r="U86" i="60" l="1"/>
  <c r="U89" i="60" s="1"/>
  <c r="U87" i="60"/>
  <c r="W63" i="60"/>
  <c r="W33" i="60" s="1"/>
  <c r="V32" i="60" s="1"/>
  <c r="Y71" i="60"/>
  <c r="X74" i="60"/>
  <c r="X75" i="60" s="1"/>
  <c r="W70" i="60"/>
  <c r="U69" i="60"/>
  <c r="X60" i="60"/>
  <c r="X96" i="60" s="1"/>
  <c r="X58" i="60"/>
  <c r="X57" i="60"/>
  <c r="V53" i="60"/>
  <c r="AJ66" i="60"/>
  <c r="AI67" i="60"/>
  <c r="T15" i="60"/>
  <c r="U18" i="60"/>
  <c r="U25" i="60"/>
  <c r="Y77" i="60"/>
  <c r="U61" i="60"/>
  <c r="U98" i="60"/>
  <c r="W130" i="60"/>
  <c r="V62" i="60"/>
  <c r="V64" i="60" s="1"/>
  <c r="AN42" i="61"/>
  <c r="AJ96" i="61"/>
  <c r="AK1" i="61"/>
  <c r="AK57" i="61"/>
  <c r="AJ58" i="61"/>
  <c r="BG32" i="61"/>
  <c r="Z1" i="60"/>
  <c r="AI38" i="60"/>
  <c r="AD28" i="60"/>
  <c r="B62" i="27"/>
  <c r="B20" i="19"/>
  <c r="V86" i="60" l="1"/>
  <c r="V89" i="60" s="1"/>
  <c r="V87" i="60"/>
  <c r="X63" i="60"/>
  <c r="X33" i="60" s="1"/>
  <c r="W32" i="60" s="1"/>
  <c r="V69" i="60"/>
  <c r="Z71" i="60"/>
  <c r="Y74" i="60"/>
  <c r="Y75" i="60" s="1"/>
  <c r="X70" i="60"/>
  <c r="C119" i="61"/>
  <c r="Z77" i="60"/>
  <c r="V61" i="60"/>
  <c r="V98" i="60"/>
  <c r="V25" i="60"/>
  <c r="U15" i="60"/>
  <c r="V18" i="60"/>
  <c r="W53" i="60"/>
  <c r="Y58" i="60"/>
  <c r="Y60" i="60"/>
  <c r="Y96" i="60" s="1"/>
  <c r="Y57" i="60"/>
  <c r="AK66" i="60"/>
  <c r="AJ67" i="60"/>
  <c r="X130" i="60"/>
  <c r="W62" i="60"/>
  <c r="W64" i="60" s="1"/>
  <c r="BH32" i="61"/>
  <c r="AL57" i="61"/>
  <c r="AK58" i="61"/>
  <c r="AL1" i="61"/>
  <c r="AK96" i="61"/>
  <c r="AO42" i="61"/>
  <c r="AA1" i="60"/>
  <c r="AE28" i="60"/>
  <c r="AJ38" i="60"/>
  <c r="W87" i="60" l="1"/>
  <c r="W86" i="60"/>
  <c r="W89" i="60" s="1"/>
  <c r="Y63" i="60"/>
  <c r="Y33" i="60" s="1"/>
  <c r="X32" i="60" s="1"/>
  <c r="W69" i="60"/>
  <c r="AA71" i="60"/>
  <c r="Z74" i="60"/>
  <c r="Z75" i="60" s="1"/>
  <c r="Y70" i="60"/>
  <c r="W61" i="60"/>
  <c r="W98" i="60"/>
  <c r="AA77" i="60"/>
  <c r="X62" i="60"/>
  <c r="X64" i="60" s="1"/>
  <c r="AL66" i="60"/>
  <c r="AK67" i="60"/>
  <c r="W25" i="60"/>
  <c r="V15" i="60"/>
  <c r="W18" i="60"/>
  <c r="Y130" i="60"/>
  <c r="X53" i="60"/>
  <c r="Z58" i="60"/>
  <c r="Z60" i="60"/>
  <c r="Z96" i="60" s="1"/>
  <c r="Z57" i="60"/>
  <c r="AL96" i="61"/>
  <c r="AM1" i="61"/>
  <c r="AM57" i="61"/>
  <c r="AL58" i="61"/>
  <c r="AP42" i="61"/>
  <c r="AB1" i="60"/>
  <c r="AK38" i="60"/>
  <c r="AF28" i="60"/>
  <c r="H21" i="6"/>
  <c r="X87" i="60" l="1"/>
  <c r="X86" i="60"/>
  <c r="X89" i="60" s="1"/>
  <c r="Z63" i="60"/>
  <c r="Z33" i="60" s="1"/>
  <c r="Y32" i="60" s="1"/>
  <c r="X69" i="60"/>
  <c r="AB71" i="60"/>
  <c r="AA74" i="60"/>
  <c r="AA75" i="60" s="1"/>
  <c r="Z70" i="60"/>
  <c r="AB77" i="60"/>
  <c r="Z130" i="60"/>
  <c r="AM66" i="60"/>
  <c r="AL67" i="60"/>
  <c r="AA60" i="60"/>
  <c r="AA96" i="60" s="1"/>
  <c r="AA58" i="60"/>
  <c r="AA57" i="60"/>
  <c r="Y53" i="60"/>
  <c r="Y62" i="60"/>
  <c r="Y64" i="60" s="1"/>
  <c r="X61" i="60"/>
  <c r="X98" i="60"/>
  <c r="X25" i="60"/>
  <c r="X18" i="60"/>
  <c r="W15" i="60"/>
  <c r="AN57" i="61"/>
  <c r="AM58" i="61"/>
  <c r="AN1" i="61"/>
  <c r="AM96" i="61"/>
  <c r="AQ42" i="61"/>
  <c r="AC1" i="60"/>
  <c r="AL38" i="60"/>
  <c r="AG28" i="60"/>
  <c r="Y86" i="60" l="1"/>
  <c r="Y89" i="60" s="1"/>
  <c r="Y87" i="60"/>
  <c r="AA63" i="60"/>
  <c r="AA33" i="60" s="1"/>
  <c r="Z32" i="60" s="1"/>
  <c r="Y69" i="60"/>
  <c r="AC71" i="60"/>
  <c r="AB74" i="60"/>
  <c r="AB75" i="60" s="1"/>
  <c r="AA70" i="60"/>
  <c r="AA130" i="60"/>
  <c r="AC77" i="60"/>
  <c r="X15" i="60"/>
  <c r="Y25" i="60"/>
  <c r="Y18" i="60"/>
  <c r="Y61" i="60"/>
  <c r="Y98" i="60"/>
  <c r="AN66" i="60"/>
  <c r="AM67" i="60"/>
  <c r="AB60" i="60"/>
  <c r="AB96" i="60" s="1"/>
  <c r="AB58" i="60"/>
  <c r="AB57" i="60"/>
  <c r="Z53" i="60"/>
  <c r="Z62" i="60"/>
  <c r="Z64" i="60" s="1"/>
  <c r="AN96" i="61"/>
  <c r="AO1" i="61"/>
  <c r="AR42" i="61"/>
  <c r="AO57" i="61"/>
  <c r="AN58" i="61"/>
  <c r="AD1" i="60"/>
  <c r="F124" i="60"/>
  <c r="AM38" i="60"/>
  <c r="AH28" i="60"/>
  <c r="Z86" i="60" l="1"/>
  <c r="Z89" i="60" s="1"/>
  <c r="Z87" i="60"/>
  <c r="AB63" i="60"/>
  <c r="AB33" i="60" s="1"/>
  <c r="AA32" i="60" s="1"/>
  <c r="AD71" i="60"/>
  <c r="AC74" i="60"/>
  <c r="AC75" i="60" s="1"/>
  <c r="AB70" i="60"/>
  <c r="Z69" i="60"/>
  <c r="AN67" i="60"/>
  <c r="AO66" i="60"/>
  <c r="AD77" i="60"/>
  <c r="AB130" i="60"/>
  <c r="Z25" i="60"/>
  <c r="Z18" i="60"/>
  <c r="Y15" i="60"/>
  <c r="Z61" i="60"/>
  <c r="Z98" i="60"/>
  <c r="AC60" i="60"/>
  <c r="AC96" i="60" s="1"/>
  <c r="AC57" i="60"/>
  <c r="AA53" i="60"/>
  <c r="AC58" i="60"/>
  <c r="AA62" i="60"/>
  <c r="AA64" i="60" s="1"/>
  <c r="AO96" i="61"/>
  <c r="AP1" i="61"/>
  <c r="AP57" i="61"/>
  <c r="AO58" i="61"/>
  <c r="AS42" i="61"/>
  <c r="AE1" i="60"/>
  <c r="AN38" i="60"/>
  <c r="AI28" i="60"/>
  <c r="AA87" i="60" l="1"/>
  <c r="AA86" i="60"/>
  <c r="AA89" i="60" s="1"/>
  <c r="AC63" i="60"/>
  <c r="AC33" i="60" s="1"/>
  <c r="AB32" i="60" s="1"/>
  <c r="AA69" i="60"/>
  <c r="AE71" i="60"/>
  <c r="AD74" i="60"/>
  <c r="AD75" i="60" s="1"/>
  <c r="AC70" i="60"/>
  <c r="AA18" i="60"/>
  <c r="AA25" i="60"/>
  <c r="Z15" i="60"/>
  <c r="AE77" i="60"/>
  <c r="AC130" i="60"/>
  <c r="AB53" i="60"/>
  <c r="AD60" i="60"/>
  <c r="AD96" i="60" s="1"/>
  <c r="AD57" i="60"/>
  <c r="AD58" i="60"/>
  <c r="AB62" i="60"/>
  <c r="AB64" i="60" s="1"/>
  <c r="AO67" i="60"/>
  <c r="AP66" i="60"/>
  <c r="AA61" i="60"/>
  <c r="AA98" i="60"/>
  <c r="AP96" i="61"/>
  <c r="AQ1" i="61"/>
  <c r="AQ57" i="61"/>
  <c r="AP58" i="61"/>
  <c r="AT42" i="61"/>
  <c r="AF1" i="60"/>
  <c r="AO38" i="60"/>
  <c r="AJ28" i="60"/>
  <c r="AB87" i="60" l="1"/>
  <c r="AB86" i="60"/>
  <c r="AB89" i="60" s="1"/>
  <c r="AD63" i="60"/>
  <c r="AD33" i="60" s="1"/>
  <c r="AC32" i="60" s="1"/>
  <c r="AB69" i="60"/>
  <c r="AF71" i="60"/>
  <c r="AE74" i="60"/>
  <c r="AE75" i="60" s="1"/>
  <c r="AD70" i="60"/>
  <c r="AB61" i="60"/>
  <c r="AB98" i="60"/>
  <c r="AE60" i="60"/>
  <c r="AE96" i="60" s="1"/>
  <c r="AE58" i="60"/>
  <c r="AE57" i="60"/>
  <c r="AC53" i="60"/>
  <c r="AC62" i="60"/>
  <c r="AC64" i="60" s="1"/>
  <c r="AF77" i="60"/>
  <c r="AP67" i="60"/>
  <c r="AQ66" i="60"/>
  <c r="AB25" i="60"/>
  <c r="AB18" i="60"/>
  <c r="AA15" i="60"/>
  <c r="AD130" i="60"/>
  <c r="AU42" i="61"/>
  <c r="AR57" i="61"/>
  <c r="AQ58" i="61"/>
  <c r="AQ96" i="61"/>
  <c r="AR1" i="61"/>
  <c r="AG1" i="60"/>
  <c r="AP38" i="60"/>
  <c r="AK28" i="60"/>
  <c r="AC86" i="60" l="1"/>
  <c r="AC89" i="60" s="1"/>
  <c r="AC87" i="60"/>
  <c r="AE63" i="60"/>
  <c r="AE33" i="60" s="1"/>
  <c r="AD32" i="60" s="1"/>
  <c r="AG71" i="60"/>
  <c r="AF74" i="60"/>
  <c r="AF75" i="60" s="1"/>
  <c r="AE70" i="60"/>
  <c r="AC69" i="60"/>
  <c r="AB15" i="60"/>
  <c r="AC25" i="60"/>
  <c r="AC18" i="60"/>
  <c r="AF60" i="60"/>
  <c r="AF96" i="60" s="1"/>
  <c r="AF58" i="60"/>
  <c r="AF57" i="60"/>
  <c r="AD53" i="60"/>
  <c r="AE130" i="60"/>
  <c r="AG77" i="60"/>
  <c r="AD62" i="60"/>
  <c r="AD64" i="60" s="1"/>
  <c r="AQ67" i="60"/>
  <c r="AR66" i="60"/>
  <c r="AC61" i="60"/>
  <c r="AC98" i="60"/>
  <c r="AR96" i="61"/>
  <c r="AS1" i="61"/>
  <c r="AS57" i="61"/>
  <c r="AR58" i="61"/>
  <c r="AV42" i="61"/>
  <c r="AH1" i="60"/>
  <c r="AQ38" i="60"/>
  <c r="G124" i="60"/>
  <c r="AL28" i="60"/>
  <c r="AD86" i="60" l="1"/>
  <c r="AD89" i="60" s="1"/>
  <c r="AD87" i="60"/>
  <c r="AF63" i="60"/>
  <c r="AF33" i="60" s="1"/>
  <c r="AE32" i="60" s="1"/>
  <c r="AD69" i="60"/>
  <c r="AH71" i="60"/>
  <c r="AG74" i="60"/>
  <c r="AG75" i="60" s="1"/>
  <c r="AF70" i="60"/>
  <c r="C129" i="61"/>
  <c r="AR67" i="60"/>
  <c r="AS66" i="60"/>
  <c r="AD25" i="60"/>
  <c r="AD18" i="60"/>
  <c r="AC15" i="60"/>
  <c r="AG58" i="60"/>
  <c r="AE53" i="60"/>
  <c r="AG60" i="60"/>
  <c r="AG96" i="60" s="1"/>
  <c r="AG57" i="60"/>
  <c r="AH77" i="60"/>
  <c r="AD61" i="60"/>
  <c r="AD98" i="60"/>
  <c r="AE62" i="60"/>
  <c r="AE64" i="60" s="1"/>
  <c r="AF130" i="60"/>
  <c r="AT1" i="61"/>
  <c r="AS96" i="61"/>
  <c r="AW42" i="61"/>
  <c r="AT57" i="61"/>
  <c r="AS58" i="61"/>
  <c r="AI1" i="60"/>
  <c r="AR38" i="60"/>
  <c r="AM28" i="60"/>
  <c r="AE87" i="60" l="1"/>
  <c r="AE86" i="60"/>
  <c r="AE89" i="60" s="1"/>
  <c r="AG63" i="60"/>
  <c r="AG33" i="60" s="1"/>
  <c r="AF32" i="60" s="1"/>
  <c r="AE69" i="60"/>
  <c r="AI71" i="60"/>
  <c r="AH74" i="60"/>
  <c r="AH75" i="60" s="1"/>
  <c r="AG70" i="60"/>
  <c r="AG130" i="60"/>
  <c r="AE61" i="60"/>
  <c r="AE98" i="60"/>
  <c r="AD15" i="60"/>
  <c r="AE18" i="60"/>
  <c r="AE25" i="60"/>
  <c r="AI77" i="60"/>
  <c r="AS67" i="60"/>
  <c r="AT66" i="60"/>
  <c r="AF53" i="60"/>
  <c r="AH58" i="60"/>
  <c r="AH60" i="60"/>
  <c r="AH96" i="60" s="1"/>
  <c r="AH57" i="60"/>
  <c r="AF62" i="60"/>
  <c r="AF64" i="60" s="1"/>
  <c r="AU57" i="61"/>
  <c r="AT58" i="61"/>
  <c r="AT96" i="61"/>
  <c r="AU1" i="61"/>
  <c r="AX42" i="61"/>
  <c r="AJ1" i="60"/>
  <c r="AN28" i="60"/>
  <c r="AS38" i="60"/>
  <c r="AF87" i="60" l="1"/>
  <c r="AF86" i="60"/>
  <c r="AF89" i="60" s="1"/>
  <c r="AH63" i="60"/>
  <c r="AH33" i="60" s="1"/>
  <c r="AG32" i="60" s="1"/>
  <c r="AJ71" i="60"/>
  <c r="AI74" i="60"/>
  <c r="AI75" i="60" s="1"/>
  <c r="AH70" i="60"/>
  <c r="AF69" i="60"/>
  <c r="C118" i="61"/>
  <c r="AF61" i="60"/>
  <c r="AF98" i="60"/>
  <c r="AJ77" i="60"/>
  <c r="AG62" i="60"/>
  <c r="AG64" i="60" s="1"/>
  <c r="AI60" i="60"/>
  <c r="AI96" i="60" s="1"/>
  <c r="AI58" i="60"/>
  <c r="AI57" i="60"/>
  <c r="AG53" i="60"/>
  <c r="AE15" i="60"/>
  <c r="AF18" i="60"/>
  <c r="AF25" i="60"/>
  <c r="AH130" i="60"/>
  <c r="AT67" i="60"/>
  <c r="AU66" i="60"/>
  <c r="AY42" i="61"/>
  <c r="AU96" i="61"/>
  <c r="AV1" i="61"/>
  <c r="AV57" i="61"/>
  <c r="AU58" i="61"/>
  <c r="AK1" i="60"/>
  <c r="AT38" i="60"/>
  <c r="AO28" i="60"/>
  <c r="AG86" i="60" l="1"/>
  <c r="AG89" i="60" s="1"/>
  <c r="AG87" i="60"/>
  <c r="AI63" i="60"/>
  <c r="AI33" i="60" s="1"/>
  <c r="AH32" i="60" s="1"/>
  <c r="AG69" i="60"/>
  <c r="AK71" i="60"/>
  <c r="AJ74" i="60"/>
  <c r="AJ75" i="60" s="1"/>
  <c r="AI70" i="60"/>
  <c r="C123" i="61"/>
  <c r="C128" i="61" s="1"/>
  <c r="C74" i="61"/>
  <c r="C120" i="61"/>
  <c r="AJ60" i="60"/>
  <c r="AJ96" i="60" s="1"/>
  <c r="AJ58" i="60"/>
  <c r="AJ57" i="60"/>
  <c r="AH53" i="60"/>
  <c r="AK77" i="60"/>
  <c r="AI130" i="60"/>
  <c r="AG25" i="60"/>
  <c r="AF15" i="60"/>
  <c r="AG18" i="60"/>
  <c r="AU67" i="60"/>
  <c r="AV66" i="60"/>
  <c r="AG61" i="60"/>
  <c r="AG98" i="60"/>
  <c r="AH62" i="60"/>
  <c r="AH64" i="60" s="1"/>
  <c r="AW57" i="61"/>
  <c r="AV58" i="61"/>
  <c r="AZ42" i="61"/>
  <c r="AV96" i="61"/>
  <c r="AW1" i="61"/>
  <c r="AL1" i="60"/>
  <c r="AP28" i="60"/>
  <c r="AU38" i="60"/>
  <c r="AH86" i="60" l="1"/>
  <c r="AH89" i="60" s="1"/>
  <c r="AH87" i="60"/>
  <c r="AJ63" i="60"/>
  <c r="AJ33" i="60" s="1"/>
  <c r="AI32" i="60" s="1"/>
  <c r="AH69" i="60"/>
  <c r="AL71" i="60"/>
  <c r="AK74" i="60"/>
  <c r="AK75" i="60" s="1"/>
  <c r="AJ70" i="60"/>
  <c r="C125" i="61"/>
  <c r="C132" i="61" s="1"/>
  <c r="C126" i="61"/>
  <c r="C122" i="61"/>
  <c r="C79" i="61"/>
  <c r="C100" i="60"/>
  <c r="AI53" i="60"/>
  <c r="AK60" i="60"/>
  <c r="AK96" i="60" s="1"/>
  <c r="AK57" i="60"/>
  <c r="AK58" i="60"/>
  <c r="AI62" i="60"/>
  <c r="AI64" i="60" s="1"/>
  <c r="AH25" i="60"/>
  <c r="AG15" i="60"/>
  <c r="AH18" i="60"/>
  <c r="AH61" i="60"/>
  <c r="AH98" i="60"/>
  <c r="AV67" i="60"/>
  <c r="AW66" i="60"/>
  <c r="AJ130" i="60"/>
  <c r="AL77" i="60"/>
  <c r="BA42" i="61"/>
  <c r="AX1" i="61"/>
  <c r="AW96" i="61"/>
  <c r="AX57" i="61"/>
  <c r="AW58" i="61"/>
  <c r="AM1" i="60"/>
  <c r="AV38" i="60"/>
  <c r="AQ28" i="60"/>
  <c r="AI87" i="60" l="1"/>
  <c r="AI86" i="60"/>
  <c r="AI89" i="60" s="1"/>
  <c r="AK63" i="60"/>
  <c r="AK33" i="60" s="1"/>
  <c r="AJ32" i="60" s="1"/>
  <c r="AI69" i="60"/>
  <c r="AM71" i="60"/>
  <c r="AL74" i="60"/>
  <c r="AL75" i="60" s="1"/>
  <c r="AK70" i="60"/>
  <c r="AJ62" i="60"/>
  <c r="AJ64" i="60" s="1"/>
  <c r="AJ53" i="60"/>
  <c r="AL60" i="60"/>
  <c r="AL96" i="60" s="1"/>
  <c r="AL57" i="60"/>
  <c r="AL58" i="60"/>
  <c r="AI61" i="60"/>
  <c r="AI98" i="60"/>
  <c r="AK130" i="60"/>
  <c r="AM77" i="60"/>
  <c r="AI18" i="60"/>
  <c r="AI25" i="60"/>
  <c r="AH15" i="60"/>
  <c r="AW67" i="60"/>
  <c r="AX66" i="60"/>
  <c r="AY57" i="61"/>
  <c r="AX58" i="61"/>
  <c r="AY1" i="61"/>
  <c r="AX96" i="61"/>
  <c r="BB42" i="61"/>
  <c r="AN1" i="60"/>
  <c r="AR28" i="60"/>
  <c r="AW38" i="60"/>
  <c r="H124" i="60"/>
  <c r="H28" i="8"/>
  <c r="H24" i="8"/>
  <c r="H23" i="8"/>
  <c r="I23" i="8" s="1"/>
  <c r="H22" i="8"/>
  <c r="H9" i="8"/>
  <c r="I9" i="8" s="1"/>
  <c r="I40" i="8" s="1"/>
  <c r="H4" i="8"/>
  <c r="I4" i="8" s="1"/>
  <c r="C7" i="8"/>
  <c r="I29" i="8"/>
  <c r="H21" i="8"/>
  <c r="H20" i="8"/>
  <c r="H19" i="8"/>
  <c r="H18" i="8"/>
  <c r="H17" i="8"/>
  <c r="AJ87" i="60" l="1"/>
  <c r="AJ86" i="60"/>
  <c r="AJ89" i="60" s="1"/>
  <c r="AL63" i="60"/>
  <c r="AL33" i="60" s="1"/>
  <c r="AK32" i="60" s="1"/>
  <c r="AJ69" i="60"/>
  <c r="AN71" i="60"/>
  <c r="AM74" i="60"/>
  <c r="AM75" i="60" s="1"/>
  <c r="AL70" i="60"/>
  <c r="BG75" i="61"/>
  <c r="BC75" i="61"/>
  <c r="AY75" i="61"/>
  <c r="AU75" i="61"/>
  <c r="AQ75" i="61"/>
  <c r="AM75" i="61"/>
  <c r="BH75" i="61"/>
  <c r="BD75" i="61"/>
  <c r="AZ75" i="61"/>
  <c r="AV75" i="61"/>
  <c r="AR75" i="61"/>
  <c r="AN75" i="61"/>
  <c r="BA75" i="61"/>
  <c r="AS75" i="61"/>
  <c r="BF75" i="61"/>
  <c r="AX75" i="61"/>
  <c r="AP75" i="61"/>
  <c r="BB75" i="61"/>
  <c r="AW75" i="61"/>
  <c r="AO75" i="61"/>
  <c r="BE75" i="61"/>
  <c r="AT75" i="61"/>
  <c r="AJ18" i="60"/>
  <c r="AI15" i="60"/>
  <c r="AJ61" i="60"/>
  <c r="AJ98" i="60"/>
  <c r="AX67" i="60"/>
  <c r="AY66" i="60"/>
  <c r="AN77" i="60"/>
  <c r="AK62" i="60"/>
  <c r="AK64" i="60" s="1"/>
  <c r="AL130" i="60"/>
  <c r="AY96" i="61"/>
  <c r="AZ1" i="61"/>
  <c r="BC42" i="61"/>
  <c r="AZ57" i="61"/>
  <c r="AY58" i="61"/>
  <c r="AO1" i="60"/>
  <c r="AX38" i="60"/>
  <c r="AS28" i="60"/>
  <c r="I7" i="8"/>
  <c r="I8" i="8" s="1"/>
  <c r="I41" i="8"/>
  <c r="I10" i="8"/>
  <c r="I14" i="8"/>
  <c r="AK86" i="60" l="1"/>
  <c r="AK89" i="60" s="1"/>
  <c r="AK87" i="60"/>
  <c r="AK69" i="60"/>
  <c r="AO71" i="60"/>
  <c r="AN74" i="60"/>
  <c r="AN75" i="60" s="1"/>
  <c r="AM70" i="60"/>
  <c r="AY67" i="60"/>
  <c r="AZ66" i="60"/>
  <c r="AO77" i="60"/>
  <c r="AK61" i="60"/>
  <c r="AK98" i="60"/>
  <c r="AL62" i="60"/>
  <c r="AL64" i="60" s="1"/>
  <c r="AK25" i="60"/>
  <c r="AK18" i="60"/>
  <c r="BA57" i="61"/>
  <c r="AZ58" i="61"/>
  <c r="BD42" i="61"/>
  <c r="AZ96" i="61"/>
  <c r="BA1" i="61"/>
  <c r="AP1" i="60"/>
  <c r="AT28" i="60"/>
  <c r="AY38" i="60"/>
  <c r="I45" i="8"/>
  <c r="I46" i="8" s="1"/>
  <c r="I11" i="8"/>
  <c r="C8" i="4"/>
  <c r="C7" i="4"/>
  <c r="C6" i="4"/>
  <c r="C5" i="4"/>
  <c r="C4" i="4"/>
  <c r="C3" i="4"/>
  <c r="C2" i="4"/>
  <c r="C6" i="3"/>
  <c r="C5" i="3"/>
  <c r="C4" i="3"/>
  <c r="C3" i="3"/>
  <c r="C2" i="3"/>
  <c r="AL86" i="60" l="1"/>
  <c r="AL89" i="60" s="1"/>
  <c r="AL87" i="60"/>
  <c r="AL69" i="60"/>
  <c r="AP71" i="60"/>
  <c r="AO74" i="60"/>
  <c r="AO75" i="60" s="1"/>
  <c r="AN70" i="60"/>
  <c r="AL61" i="60"/>
  <c r="AL98" i="60"/>
  <c r="AZ67" i="60"/>
  <c r="BA66" i="60"/>
  <c r="AP77" i="60"/>
  <c r="BB1" i="61"/>
  <c r="BA96" i="61"/>
  <c r="BB57" i="61"/>
  <c r="BA58" i="61"/>
  <c r="BE42" i="61"/>
  <c r="AQ1" i="60"/>
  <c r="AZ38" i="60"/>
  <c r="AU28" i="60"/>
  <c r="AM69" i="60" l="1"/>
  <c r="AQ71" i="60"/>
  <c r="AP74" i="60"/>
  <c r="AP75" i="60" s="1"/>
  <c r="AO70" i="60"/>
  <c r="BA67" i="60"/>
  <c r="BB66" i="60"/>
  <c r="AQ77" i="60"/>
  <c r="BC57" i="61"/>
  <c r="BB58" i="61"/>
  <c r="BF42" i="61"/>
  <c r="BB96" i="61"/>
  <c r="BC1" i="61"/>
  <c r="AR1" i="60"/>
  <c r="AV28" i="60"/>
  <c r="BA38" i="60"/>
  <c r="AN69" i="60" l="1"/>
  <c r="AR71" i="60"/>
  <c r="AQ74" i="60"/>
  <c r="AQ75" i="60" s="1"/>
  <c r="AP70" i="60"/>
  <c r="BB67" i="60"/>
  <c r="BC66" i="60"/>
  <c r="AR77" i="60"/>
  <c r="BG42" i="61"/>
  <c r="BD57" i="61"/>
  <c r="BC58" i="61"/>
  <c r="BC96" i="61"/>
  <c r="BD1" i="61"/>
  <c r="AS1" i="60"/>
  <c r="BB38" i="60"/>
  <c r="AW28" i="60"/>
  <c r="I124" i="60"/>
  <c r="AO69" i="60" l="1"/>
  <c r="AS71" i="60"/>
  <c r="AR74" i="60"/>
  <c r="AR75" i="60" s="1"/>
  <c r="AQ70" i="60"/>
  <c r="BC67" i="60"/>
  <c r="BD66" i="60"/>
  <c r="AS77" i="60"/>
  <c r="BD96" i="61"/>
  <c r="BE1" i="61"/>
  <c r="BE57" i="61"/>
  <c r="BD58" i="61"/>
  <c r="BH42" i="61"/>
  <c r="AT1" i="60"/>
  <c r="BC38" i="60"/>
  <c r="AX28" i="60"/>
  <c r="C53" i="7"/>
  <c r="AP69" i="60" l="1"/>
  <c r="AT71" i="60"/>
  <c r="AS74" i="60"/>
  <c r="AS75" i="60" s="1"/>
  <c r="AR70" i="60"/>
  <c r="C90" i="61"/>
  <c r="BH38" i="61"/>
  <c r="BH43" i="61" s="1"/>
  <c r="BD38" i="61"/>
  <c r="BD43" i="61" s="1"/>
  <c r="AZ38" i="61"/>
  <c r="AZ43" i="61" s="1"/>
  <c r="AV38" i="61"/>
  <c r="AV43" i="61" s="1"/>
  <c r="AR38" i="61"/>
  <c r="AR43" i="61" s="1"/>
  <c r="AN38" i="61"/>
  <c r="AN43" i="61" s="1"/>
  <c r="AJ38" i="61"/>
  <c r="AJ43" i="61" s="1"/>
  <c r="AF38" i="61"/>
  <c r="AF43" i="61" s="1"/>
  <c r="AB38" i="61"/>
  <c r="AB43" i="61" s="1"/>
  <c r="X38" i="61"/>
  <c r="X43" i="61" s="1"/>
  <c r="T38" i="61"/>
  <c r="T43" i="61" s="1"/>
  <c r="P38" i="61"/>
  <c r="P43" i="61" s="1"/>
  <c r="L38" i="61"/>
  <c r="H38" i="61"/>
  <c r="D38" i="61"/>
  <c r="BG38" i="61"/>
  <c r="BG43" i="61" s="1"/>
  <c r="BC38" i="61"/>
  <c r="BC43" i="61" s="1"/>
  <c r="AY38" i="61"/>
  <c r="AY43" i="61" s="1"/>
  <c r="AU38" i="61"/>
  <c r="AU43" i="61" s="1"/>
  <c r="AQ38" i="61"/>
  <c r="AQ43" i="61" s="1"/>
  <c r="AM38" i="61"/>
  <c r="AM43" i="61" s="1"/>
  <c r="AI38" i="61"/>
  <c r="AI43" i="61" s="1"/>
  <c r="AE38" i="61"/>
  <c r="AE43" i="61" s="1"/>
  <c r="AA38" i="61"/>
  <c r="AA43" i="61" s="1"/>
  <c r="W38" i="61"/>
  <c r="W43" i="61" s="1"/>
  <c r="S38" i="61"/>
  <c r="S43" i="61" s="1"/>
  <c r="O38" i="61"/>
  <c r="O43" i="61" s="1"/>
  <c r="K38" i="61"/>
  <c r="G38" i="61"/>
  <c r="C38" i="61"/>
  <c r="BB38" i="61"/>
  <c r="BB43" i="61" s="1"/>
  <c r="AT38" i="61"/>
  <c r="AT43" i="61" s="1"/>
  <c r="AL38" i="61"/>
  <c r="AL43" i="61" s="1"/>
  <c r="AD38" i="61"/>
  <c r="AD43" i="61" s="1"/>
  <c r="V38" i="61"/>
  <c r="V43" i="61" s="1"/>
  <c r="N38" i="61"/>
  <c r="N43" i="61" s="1"/>
  <c r="F38" i="61"/>
  <c r="AP38" i="61"/>
  <c r="AP43" i="61" s="1"/>
  <c r="Z38" i="61"/>
  <c r="Z43" i="61" s="1"/>
  <c r="J38" i="61"/>
  <c r="BA38" i="61"/>
  <c r="BA43" i="61" s="1"/>
  <c r="AS38" i="61"/>
  <c r="AS43" i="61" s="1"/>
  <c r="AK38" i="61"/>
  <c r="AK43" i="61" s="1"/>
  <c r="AC38" i="61"/>
  <c r="AC43" i="61" s="1"/>
  <c r="U38" i="61"/>
  <c r="U43" i="61" s="1"/>
  <c r="M38" i="61"/>
  <c r="M43" i="61" s="1"/>
  <c r="E38" i="61"/>
  <c r="BF38" i="61"/>
  <c r="BF43" i="61" s="1"/>
  <c r="AX38" i="61"/>
  <c r="AX43" i="61" s="1"/>
  <c r="AH38" i="61"/>
  <c r="AH43" i="61" s="1"/>
  <c r="R38" i="61"/>
  <c r="R43" i="61" s="1"/>
  <c r="AG38" i="61"/>
  <c r="AG43" i="61" s="1"/>
  <c r="Q38" i="61"/>
  <c r="Q43" i="61" s="1"/>
  <c r="BE38" i="61"/>
  <c r="BE43" i="61" s="1"/>
  <c r="Y38" i="61"/>
  <c r="Y43" i="61" s="1"/>
  <c r="AW38" i="61"/>
  <c r="AW43" i="61" s="1"/>
  <c r="AO38" i="61"/>
  <c r="AO43" i="61" s="1"/>
  <c r="I38" i="61"/>
  <c r="BD67" i="60"/>
  <c r="BE66" i="60"/>
  <c r="AT77" i="60"/>
  <c r="BE96" i="61"/>
  <c r="BF1" i="61"/>
  <c r="BE58" i="61"/>
  <c r="BF57" i="61"/>
  <c r="AU1" i="60"/>
  <c r="BD38" i="60"/>
  <c r="AY28" i="60"/>
  <c r="AU71" i="60" l="1"/>
  <c r="AT74" i="60"/>
  <c r="AT75" i="60" s="1"/>
  <c r="AS70" i="60"/>
  <c r="AQ69" i="60"/>
  <c r="L43" i="61"/>
  <c r="J43" i="61"/>
  <c r="K43" i="61"/>
  <c r="C95" i="61"/>
  <c r="C80" i="61"/>
  <c r="E43" i="61"/>
  <c r="D43" i="61"/>
  <c r="F43" i="61"/>
  <c r="G43" i="61"/>
  <c r="I43" i="61"/>
  <c r="C43" i="61"/>
  <c r="C99" i="61"/>
  <c r="C100" i="61" s="1"/>
  <c r="H43" i="61"/>
  <c r="BE67" i="60"/>
  <c r="BF66" i="60"/>
  <c r="AU77" i="60"/>
  <c r="AO28" i="61"/>
  <c r="Y28" i="61"/>
  <c r="M28" i="61"/>
  <c r="K28" i="61"/>
  <c r="AQ28" i="61"/>
  <c r="N28" i="61"/>
  <c r="AH28" i="61"/>
  <c r="BF28" i="61"/>
  <c r="AE28" i="61"/>
  <c r="AB28" i="61"/>
  <c r="AC28" i="61"/>
  <c r="BE28" i="61"/>
  <c r="C28" i="61"/>
  <c r="H28" i="61"/>
  <c r="AF28" i="61"/>
  <c r="AG28" i="61"/>
  <c r="AR28" i="61"/>
  <c r="F28" i="61"/>
  <c r="S28" i="61"/>
  <c r="AY28" i="61"/>
  <c r="R28" i="61"/>
  <c r="AP28" i="61"/>
  <c r="G28" i="61"/>
  <c r="AM28" i="61"/>
  <c r="E28" i="61"/>
  <c r="AK28" i="61"/>
  <c r="P28" i="61"/>
  <c r="AN28" i="61"/>
  <c r="AW28" i="61"/>
  <c r="L28" i="61"/>
  <c r="AZ28" i="61"/>
  <c r="V28" i="61"/>
  <c r="AA28" i="61"/>
  <c r="BC28" i="61"/>
  <c r="Z28" i="61"/>
  <c r="AT28" i="61"/>
  <c r="O28" i="61"/>
  <c r="AU28" i="61"/>
  <c r="I28" i="61"/>
  <c r="AS28" i="61"/>
  <c r="T28" i="61"/>
  <c r="AV28" i="61"/>
  <c r="BH28" i="61"/>
  <c r="AL28" i="61"/>
  <c r="AI28" i="61"/>
  <c r="J28" i="61"/>
  <c r="AD28" i="61"/>
  <c r="AX28" i="61"/>
  <c r="W28" i="61"/>
  <c r="BG28" i="61"/>
  <c r="U28" i="61"/>
  <c r="BA28" i="61"/>
  <c r="D28" i="61"/>
  <c r="X28" i="61"/>
  <c r="BD28" i="61"/>
  <c r="Q28" i="61"/>
  <c r="AJ28" i="61"/>
  <c r="BB28" i="61"/>
  <c r="BG57" i="61"/>
  <c r="BF58" i="61"/>
  <c r="BF96" i="61"/>
  <c r="BG1" i="61"/>
  <c r="AV1" i="60"/>
  <c r="BE38" i="60"/>
  <c r="AZ28" i="60"/>
  <c r="AR69" i="60" l="1"/>
  <c r="AV71" i="60"/>
  <c r="AU74" i="60"/>
  <c r="AU75" i="60" s="1"/>
  <c r="AT70" i="60"/>
  <c r="C85" i="61"/>
  <c r="C83" i="61"/>
  <c r="AV77" i="60"/>
  <c r="BF67" i="60"/>
  <c r="BG66" i="60"/>
  <c r="BB31" i="61"/>
  <c r="BB27" i="61"/>
  <c r="BB33" i="61"/>
  <c r="BG31" i="61"/>
  <c r="BG27" i="61"/>
  <c r="BG33" i="61"/>
  <c r="AV31" i="61"/>
  <c r="AV30" i="61" s="1"/>
  <c r="AV27" i="61"/>
  <c r="AV33" i="61"/>
  <c r="BC27" i="61"/>
  <c r="BC31" i="61"/>
  <c r="BC30" i="61" s="1"/>
  <c r="BC33" i="61"/>
  <c r="AK27" i="61"/>
  <c r="AK31" i="61"/>
  <c r="AK33" i="61"/>
  <c r="AP31" i="61"/>
  <c r="AP27" i="61"/>
  <c r="AP33" i="61"/>
  <c r="H31" i="61"/>
  <c r="H27" i="61"/>
  <c r="H33" i="61"/>
  <c r="AB27" i="61"/>
  <c r="AB31" i="61"/>
  <c r="AB33" i="61"/>
  <c r="Y27" i="61"/>
  <c r="Y33" i="61"/>
  <c r="Y31" i="61"/>
  <c r="AJ27" i="61"/>
  <c r="AJ31" i="61"/>
  <c r="AJ33" i="61"/>
  <c r="W27" i="61"/>
  <c r="W33" i="61"/>
  <c r="W31" i="61"/>
  <c r="T27" i="61"/>
  <c r="T33" i="61"/>
  <c r="T31" i="61"/>
  <c r="AA27" i="61"/>
  <c r="AA31" i="61"/>
  <c r="AA33" i="61"/>
  <c r="E31" i="61"/>
  <c r="E27" i="61"/>
  <c r="E33" i="61"/>
  <c r="AR27" i="61"/>
  <c r="AR31" i="61"/>
  <c r="AR33" i="61"/>
  <c r="AQ27" i="61"/>
  <c r="AQ31" i="61"/>
  <c r="AQ33" i="61"/>
  <c r="BD31" i="61"/>
  <c r="BD27" i="61"/>
  <c r="BD33" i="61"/>
  <c r="U31" i="61"/>
  <c r="U27" i="61"/>
  <c r="U33" i="61"/>
  <c r="AD31" i="61"/>
  <c r="AD27" i="61"/>
  <c r="AD33" i="61"/>
  <c r="BH31" i="61"/>
  <c r="BH27" i="61"/>
  <c r="BH33" i="61"/>
  <c r="I27" i="61"/>
  <c r="I33" i="61"/>
  <c r="I31" i="61"/>
  <c r="Z31" i="61"/>
  <c r="Z27" i="61"/>
  <c r="Z33" i="61"/>
  <c r="AZ27" i="61"/>
  <c r="AZ31" i="61"/>
  <c r="AZ33" i="61"/>
  <c r="P27" i="61"/>
  <c r="P31" i="61"/>
  <c r="P33" i="61"/>
  <c r="G33" i="61"/>
  <c r="G31" i="61"/>
  <c r="G27" i="61"/>
  <c r="S33" i="61"/>
  <c r="S27" i="61"/>
  <c r="S31" i="61"/>
  <c r="AF27" i="61"/>
  <c r="AF31" i="61"/>
  <c r="AF33" i="61"/>
  <c r="AC27" i="61"/>
  <c r="AC31" i="61"/>
  <c r="AC33" i="61"/>
  <c r="AH31" i="61"/>
  <c r="AH30" i="61" s="1"/>
  <c r="AH27" i="61"/>
  <c r="AH33" i="61"/>
  <c r="M33" i="61"/>
  <c r="M27" i="61"/>
  <c r="M31" i="61"/>
  <c r="X33" i="61"/>
  <c r="X31" i="61"/>
  <c r="X27" i="61"/>
  <c r="J27" i="61"/>
  <c r="J33" i="61"/>
  <c r="J31" i="61"/>
  <c r="AU27" i="61"/>
  <c r="AU31" i="61"/>
  <c r="AU33" i="61"/>
  <c r="L27" i="61"/>
  <c r="L33" i="61"/>
  <c r="L31" i="61"/>
  <c r="F31" i="61"/>
  <c r="F27" i="61"/>
  <c r="F33" i="61"/>
  <c r="N33" i="61"/>
  <c r="N31" i="61"/>
  <c r="N27" i="61"/>
  <c r="D31" i="61"/>
  <c r="D33" i="61"/>
  <c r="D27" i="61"/>
  <c r="AI31" i="61"/>
  <c r="AI27" i="61"/>
  <c r="AI33" i="61"/>
  <c r="O31" i="61"/>
  <c r="O33" i="61"/>
  <c r="O27" i="61"/>
  <c r="AW31" i="61"/>
  <c r="AW27" i="61"/>
  <c r="AW33" i="61"/>
  <c r="R33" i="61"/>
  <c r="R31" i="61"/>
  <c r="R27" i="61"/>
  <c r="C27" i="61"/>
  <c r="C31" i="61"/>
  <c r="C33" i="61"/>
  <c r="C97" i="61"/>
  <c r="AE27" i="61"/>
  <c r="AE31" i="61"/>
  <c r="AE30" i="61" s="1"/>
  <c r="AE33" i="61"/>
  <c r="AO31" i="61"/>
  <c r="AO27" i="61"/>
  <c r="AO33" i="61"/>
  <c r="Q31" i="61"/>
  <c r="Q27" i="61"/>
  <c r="Q33" i="61"/>
  <c r="BA31" i="61"/>
  <c r="BA30" i="61" s="1"/>
  <c r="BA27" i="61"/>
  <c r="BA33" i="61"/>
  <c r="AX31" i="61"/>
  <c r="AX27" i="61"/>
  <c r="AX33" i="61"/>
  <c r="AL31" i="61"/>
  <c r="AL27" i="61"/>
  <c r="AL33" i="61"/>
  <c r="AS31" i="61"/>
  <c r="AS27" i="61"/>
  <c r="AS33" i="61"/>
  <c r="AT31" i="61"/>
  <c r="AT30" i="61" s="1"/>
  <c r="AT27" i="61"/>
  <c r="AT33" i="61"/>
  <c r="V27" i="61"/>
  <c r="V33" i="61"/>
  <c r="V31" i="61"/>
  <c r="AN27" i="61"/>
  <c r="AN31" i="61"/>
  <c r="AN33" i="61"/>
  <c r="AM31" i="61"/>
  <c r="AM27" i="61"/>
  <c r="AM33" i="61"/>
  <c r="AY31" i="61"/>
  <c r="AY30" i="61" s="1"/>
  <c r="AY27" i="61"/>
  <c r="AY33" i="61"/>
  <c r="AG31" i="61"/>
  <c r="AG27" i="61"/>
  <c r="AG33" i="61"/>
  <c r="BE31" i="61"/>
  <c r="BE27" i="61"/>
  <c r="BE33" i="61"/>
  <c r="BF27" i="61"/>
  <c r="BF31" i="61"/>
  <c r="BF33" i="61"/>
  <c r="K31" i="61"/>
  <c r="K27" i="61"/>
  <c r="K33" i="61"/>
  <c r="BG96" i="61"/>
  <c r="BH1" i="61"/>
  <c r="BH96" i="61" s="1"/>
  <c r="BH57" i="61"/>
  <c r="BH58" i="61" s="1"/>
  <c r="BG58" i="61"/>
  <c r="AW1" i="60"/>
  <c r="BF38" i="60"/>
  <c r="BA28" i="60"/>
  <c r="B8" i="26"/>
  <c r="B13" i="26"/>
  <c r="B23" i="26"/>
  <c r="F3" i="21"/>
  <c r="J3" i="21" s="1"/>
  <c r="D4" i="21"/>
  <c r="F4" i="21" s="1"/>
  <c r="J4" i="21" s="1"/>
  <c r="B5" i="20" s="1"/>
  <c r="D5" i="21"/>
  <c r="F5" i="21" s="1"/>
  <c r="J5" i="21" s="1"/>
  <c r="B6" i="20" s="1"/>
  <c r="B22" i="25"/>
  <c r="B23" i="25" s="1"/>
  <c r="E3" i="23"/>
  <c r="E4" i="23"/>
  <c r="H4" i="23"/>
  <c r="E5" i="23"/>
  <c r="H5" i="23" s="1"/>
  <c r="E6" i="23"/>
  <c r="H6" i="23" s="1"/>
  <c r="E7" i="23"/>
  <c r="H7" i="23" s="1"/>
  <c r="E8" i="23"/>
  <c r="H8" i="23" s="1"/>
  <c r="E9" i="23"/>
  <c r="H9" i="23" s="1"/>
  <c r="E10" i="23"/>
  <c r="H10" i="23" s="1"/>
  <c r="E11" i="23"/>
  <c r="H11" i="23" s="1"/>
  <c r="E12" i="23"/>
  <c r="H12" i="23" s="1"/>
  <c r="E13" i="23"/>
  <c r="H13" i="23" s="1"/>
  <c r="E14" i="23"/>
  <c r="H14" i="23" s="1"/>
  <c r="E15" i="23"/>
  <c r="H15" i="23"/>
  <c r="H16" i="23"/>
  <c r="E18" i="23"/>
  <c r="H18" i="23" s="1"/>
  <c r="E19" i="23"/>
  <c r="H19" i="23" s="1"/>
  <c r="E20" i="23"/>
  <c r="H20" i="23" s="1"/>
  <c r="H22" i="23"/>
  <c r="E23" i="23"/>
  <c r="H23" i="23" s="1"/>
  <c r="E25" i="23"/>
  <c r="H25" i="23" s="1"/>
  <c r="E26" i="23"/>
  <c r="H26" i="23" s="1"/>
  <c r="H30" i="23"/>
  <c r="B4" i="20" s="1"/>
  <c r="B10" i="19"/>
  <c r="B16" i="19"/>
  <c r="B22" i="19"/>
  <c r="B23" i="19"/>
  <c r="B24" i="19"/>
  <c r="G3" i="22"/>
  <c r="H3" i="22" s="1"/>
  <c r="G4" i="22"/>
  <c r="H4" i="22" s="1"/>
  <c r="G5" i="22"/>
  <c r="H5" i="22" s="1"/>
  <c r="G6" i="22"/>
  <c r="H6" i="22" s="1"/>
  <c r="G7" i="22"/>
  <c r="H7" i="22" s="1"/>
  <c r="G8" i="22"/>
  <c r="H8" i="22" s="1"/>
  <c r="G9" i="22"/>
  <c r="H9" i="22" s="1"/>
  <c r="B20" i="20"/>
  <c r="B3" i="27"/>
  <c r="B4" i="27" s="1"/>
  <c r="B29" i="27" s="1"/>
  <c r="B30" i="27" s="1"/>
  <c r="B31" i="27" s="1"/>
  <c r="B8" i="27"/>
  <c r="B9" i="27"/>
  <c r="B35" i="27"/>
  <c r="B36" i="27"/>
  <c r="B49" i="27"/>
  <c r="B52" i="27" s="1"/>
  <c r="B53" i="27" s="1"/>
  <c r="I2" i="6"/>
  <c r="N2" i="6" s="1"/>
  <c r="I3" i="6"/>
  <c r="N3" i="6" s="1"/>
  <c r="I4" i="6"/>
  <c r="L4" i="6" s="1"/>
  <c r="B38" i="7" s="1"/>
  <c r="C38" i="7" s="1"/>
  <c r="L6" i="6"/>
  <c r="I7" i="6"/>
  <c r="I10" i="6"/>
  <c r="I11" i="6" s="1"/>
  <c r="L11" i="6" s="1"/>
  <c r="C14" i="6"/>
  <c r="C15" i="6"/>
  <c r="C16" i="6"/>
  <c r="C17" i="6"/>
  <c r="C18" i="6"/>
  <c r="J21" i="6"/>
  <c r="C40" i="7" s="1"/>
  <c r="D2" i="4"/>
  <c r="D3" i="4"/>
  <c r="D4" i="4"/>
  <c r="D5" i="4"/>
  <c r="D6" i="4"/>
  <c r="D7" i="4"/>
  <c r="D8" i="4"/>
  <c r="D11" i="4"/>
  <c r="B12" i="4"/>
  <c r="D12" i="4" s="1"/>
  <c r="D13" i="4"/>
  <c r="D14" i="4"/>
  <c r="F5" i="30"/>
  <c r="C11" i="30"/>
  <c r="F6" i="30" s="1"/>
  <c r="F12" i="30" s="1"/>
  <c r="F18" i="30"/>
  <c r="F19" i="30"/>
  <c r="F30" i="30"/>
  <c r="C41" i="30"/>
  <c r="C47" i="30" s="1"/>
  <c r="F43" i="30"/>
  <c r="C71" i="30"/>
  <c r="C77" i="30" s="1"/>
  <c r="F79" i="30"/>
  <c r="F80" i="30"/>
  <c r="F83" i="30"/>
  <c r="F96" i="30"/>
  <c r="F97" i="30"/>
  <c r="C100" i="30"/>
  <c r="F84" i="30" s="1"/>
  <c r="C6" i="7"/>
  <c r="C7" i="7" s="1"/>
  <c r="C9" i="7"/>
  <c r="C14" i="7"/>
  <c r="C26" i="7" s="1"/>
  <c r="C17" i="7"/>
  <c r="C18" i="7" s="1"/>
  <c r="C23" i="7"/>
  <c r="C29" i="7"/>
  <c r="C31" i="7"/>
  <c r="B32" i="7"/>
  <c r="C33" i="7"/>
  <c r="C34" i="7"/>
  <c r="B39" i="7"/>
  <c r="C39" i="7" s="1"/>
  <c r="C43" i="7"/>
  <c r="C44" i="7"/>
  <c r="C45" i="7"/>
  <c r="C57" i="7"/>
  <c r="F4" i="8"/>
  <c r="C8" i="8"/>
  <c r="F9" i="8"/>
  <c r="C10" i="8"/>
  <c r="C11" i="8" s="1"/>
  <c r="C14" i="8"/>
  <c r="C17" i="8"/>
  <c r="E17" i="8"/>
  <c r="C18" i="8"/>
  <c r="E18" i="8"/>
  <c r="C19" i="8"/>
  <c r="E19" i="8"/>
  <c r="C20" i="8"/>
  <c r="E20" i="8"/>
  <c r="F20" i="8" s="1"/>
  <c r="I20" i="8" s="1"/>
  <c r="C21" i="8"/>
  <c r="E21" i="8"/>
  <c r="B22" i="8"/>
  <c r="F23" i="8"/>
  <c r="C24" i="8"/>
  <c r="C28" i="8"/>
  <c r="I28" i="8" s="1"/>
  <c r="F28" i="8"/>
  <c r="C29" i="8"/>
  <c r="C30" i="8" s="1"/>
  <c r="F29" i="8"/>
  <c r="C47" i="8"/>
  <c r="D2" i="3"/>
  <c r="D3" i="3"/>
  <c r="D4" i="3"/>
  <c r="D5" i="3"/>
  <c r="D6" i="3"/>
  <c r="D9" i="3"/>
  <c r="D10" i="3"/>
  <c r="B11" i="3"/>
  <c r="D11" i="3"/>
  <c r="D12" i="3"/>
  <c r="D13" i="3"/>
  <c r="D14" i="3"/>
  <c r="B15" i="3"/>
  <c r="D15" i="3" s="1"/>
  <c r="B16" i="3"/>
  <c r="D16" i="3" s="1"/>
  <c r="B17" i="3"/>
  <c r="D17" i="3" s="1"/>
  <c r="X30" i="61" l="1"/>
  <c r="AD30" i="61"/>
  <c r="C73" i="60"/>
  <c r="D73" i="60"/>
  <c r="E73" i="60"/>
  <c r="F73" i="60"/>
  <c r="G73" i="60"/>
  <c r="H73" i="60"/>
  <c r="I73" i="60"/>
  <c r="J73" i="60"/>
  <c r="K73" i="60"/>
  <c r="L73" i="60"/>
  <c r="M73" i="60"/>
  <c r="N73" i="60"/>
  <c r="O73" i="60"/>
  <c r="P73" i="60"/>
  <c r="Q73" i="60"/>
  <c r="R73" i="60"/>
  <c r="S73" i="60"/>
  <c r="T73" i="60"/>
  <c r="U73" i="60"/>
  <c r="V73" i="60"/>
  <c r="W73" i="60"/>
  <c r="X73" i="60"/>
  <c r="Y73" i="60"/>
  <c r="Z73" i="60"/>
  <c r="AA73" i="60"/>
  <c r="AB73" i="60"/>
  <c r="AC73" i="60"/>
  <c r="AD73" i="60"/>
  <c r="AE73" i="60"/>
  <c r="AF73" i="60"/>
  <c r="AG73" i="60"/>
  <c r="AH73" i="60"/>
  <c r="AI73" i="60"/>
  <c r="AJ73" i="60"/>
  <c r="AK73" i="60"/>
  <c r="AL73" i="60"/>
  <c r="AM73" i="60"/>
  <c r="AN73" i="60"/>
  <c r="AO73" i="60"/>
  <c r="AP73" i="60"/>
  <c r="AQ73" i="60"/>
  <c r="AR73" i="60"/>
  <c r="AS73" i="60"/>
  <c r="AT73" i="60"/>
  <c r="AU73" i="60"/>
  <c r="AW71" i="60"/>
  <c r="AV73" i="60"/>
  <c r="AV74" i="60"/>
  <c r="AV75" i="60" s="1"/>
  <c r="AU70" i="60"/>
  <c r="AS69" i="60"/>
  <c r="E25" i="60"/>
  <c r="O25" i="60"/>
  <c r="N25" i="60"/>
  <c r="AG30" i="61"/>
  <c r="AN30" i="61"/>
  <c r="AX30" i="61"/>
  <c r="AI30" i="61"/>
  <c r="AU30" i="61"/>
  <c r="AF30" i="61"/>
  <c r="BH30" i="61"/>
  <c r="AA30" i="61"/>
  <c r="AK30" i="61"/>
  <c r="BF25" i="61"/>
  <c r="BB25" i="61"/>
  <c r="AX25" i="61"/>
  <c r="AT25" i="61"/>
  <c r="AP25" i="61"/>
  <c r="AL25" i="61"/>
  <c r="AH25" i="61"/>
  <c r="AD25" i="61"/>
  <c r="Z25" i="61"/>
  <c r="V25" i="61"/>
  <c r="R25" i="61"/>
  <c r="N25" i="61"/>
  <c r="J25" i="61"/>
  <c r="F25" i="61"/>
  <c r="BG25" i="61"/>
  <c r="BA25" i="61"/>
  <c r="AV25" i="61"/>
  <c r="AQ25" i="61"/>
  <c r="AK25" i="61"/>
  <c r="AF25" i="61"/>
  <c r="AA25" i="61"/>
  <c r="U25" i="61"/>
  <c r="P25" i="61"/>
  <c r="K25" i="61"/>
  <c r="E25" i="61"/>
  <c r="H25" i="61"/>
  <c r="BE25" i="61"/>
  <c r="AZ25" i="61"/>
  <c r="AU25" i="61"/>
  <c r="AO25" i="61"/>
  <c r="AJ25" i="61"/>
  <c r="AE25" i="61"/>
  <c r="Y25" i="61"/>
  <c r="T25" i="61"/>
  <c r="O25" i="61"/>
  <c r="I25" i="61"/>
  <c r="D25" i="61"/>
  <c r="BD25" i="61"/>
  <c r="AY25" i="61"/>
  <c r="AS25" i="61"/>
  <c r="AN25" i="61"/>
  <c r="AI25" i="61"/>
  <c r="AC25" i="61"/>
  <c r="X25" i="61"/>
  <c r="S25" i="61"/>
  <c r="M25" i="61"/>
  <c r="C25" i="61"/>
  <c r="BC25" i="61"/>
  <c r="AG25" i="61"/>
  <c r="L25" i="61"/>
  <c r="AR25" i="61"/>
  <c r="W25" i="61"/>
  <c r="AW25" i="61"/>
  <c r="AB25" i="61"/>
  <c r="G25" i="61"/>
  <c r="BH25" i="61"/>
  <c r="AM25" i="61"/>
  <c r="Q25" i="61"/>
  <c r="C20" i="60"/>
  <c r="D20" i="60"/>
  <c r="E20" i="60"/>
  <c r="F20" i="60"/>
  <c r="G20" i="60"/>
  <c r="H20" i="60"/>
  <c r="I20" i="60"/>
  <c r="J20" i="60"/>
  <c r="K20" i="60"/>
  <c r="L20" i="60"/>
  <c r="M20" i="60"/>
  <c r="N20" i="60"/>
  <c r="O20" i="60"/>
  <c r="P20" i="60"/>
  <c r="Q20" i="60"/>
  <c r="R20" i="60"/>
  <c r="S20" i="60"/>
  <c r="T20" i="60"/>
  <c r="U20" i="60"/>
  <c r="V20" i="60"/>
  <c r="W20" i="60"/>
  <c r="X20" i="60"/>
  <c r="Y20" i="60"/>
  <c r="Z20" i="60"/>
  <c r="AA20" i="60"/>
  <c r="AB20" i="60"/>
  <c r="AC20" i="60"/>
  <c r="AD20" i="60"/>
  <c r="AE20" i="60"/>
  <c r="AF20" i="60"/>
  <c r="AG20" i="60"/>
  <c r="AH20" i="60"/>
  <c r="AI20" i="60"/>
  <c r="AJ20" i="60"/>
  <c r="AK20" i="60"/>
  <c r="AL20" i="60"/>
  <c r="BH64" i="61"/>
  <c r="BD64" i="61"/>
  <c r="AZ64" i="61"/>
  <c r="AV64" i="61"/>
  <c r="AR64" i="61"/>
  <c r="AN64" i="61"/>
  <c r="AJ64" i="61"/>
  <c r="AF64" i="61"/>
  <c r="AB64" i="61"/>
  <c r="X64" i="61"/>
  <c r="T64" i="61"/>
  <c r="P64" i="61"/>
  <c r="L64" i="61"/>
  <c r="H64" i="61"/>
  <c r="D64" i="61"/>
  <c r="BE64" i="61"/>
  <c r="BA64" i="61"/>
  <c r="AW64" i="61"/>
  <c r="AS64" i="61"/>
  <c r="AO64" i="61"/>
  <c r="AK64" i="61"/>
  <c r="AG64" i="61"/>
  <c r="AC64" i="61"/>
  <c r="Y64" i="61"/>
  <c r="U64" i="61"/>
  <c r="Q64" i="61"/>
  <c r="M64" i="61"/>
  <c r="I64" i="61"/>
  <c r="E64" i="61"/>
  <c r="BB64" i="61"/>
  <c r="AT64" i="61"/>
  <c r="AL64" i="61"/>
  <c r="AD64" i="61"/>
  <c r="V64" i="61"/>
  <c r="N64" i="61"/>
  <c r="F64" i="61"/>
  <c r="BG64" i="61"/>
  <c r="AY64" i="61"/>
  <c r="AQ64" i="61"/>
  <c r="AI64" i="61"/>
  <c r="AA64" i="61"/>
  <c r="BF64" i="61"/>
  <c r="AP64" i="61"/>
  <c r="Z64" i="61"/>
  <c r="O64" i="61"/>
  <c r="C64" i="61"/>
  <c r="BC64" i="61"/>
  <c r="AM64" i="61"/>
  <c r="W64" i="61"/>
  <c r="K64" i="61"/>
  <c r="AE64" i="61"/>
  <c r="G64" i="61"/>
  <c r="AU64" i="61"/>
  <c r="AX64" i="61"/>
  <c r="S64" i="61"/>
  <c r="R64" i="61"/>
  <c r="AH64" i="61"/>
  <c r="J64" i="61"/>
  <c r="BF30" i="61"/>
  <c r="BE30" i="61"/>
  <c r="AL30" i="61"/>
  <c r="AO30" i="61"/>
  <c r="O30" i="61"/>
  <c r="N30" i="61"/>
  <c r="AC30" i="61"/>
  <c r="AZ30" i="61"/>
  <c r="Z30" i="61"/>
  <c r="BD30" i="61"/>
  <c r="AR30" i="61"/>
  <c r="W30" i="61"/>
  <c r="AJ30" i="61"/>
  <c r="BB30" i="61"/>
  <c r="C82" i="61"/>
  <c r="F21" i="8"/>
  <c r="I21" i="8" s="1"/>
  <c r="BF63" i="61"/>
  <c r="BB63" i="61"/>
  <c r="AX63" i="61"/>
  <c r="AT63" i="61"/>
  <c r="AP63" i="61"/>
  <c r="AL63" i="61"/>
  <c r="AH63" i="61"/>
  <c r="AD63" i="61"/>
  <c r="Z63" i="61"/>
  <c r="V63" i="61"/>
  <c r="R63" i="61"/>
  <c r="N63" i="61"/>
  <c r="J63" i="61"/>
  <c r="F63" i="61"/>
  <c r="BG63" i="61"/>
  <c r="BC63" i="61"/>
  <c r="AY63" i="61"/>
  <c r="AU63" i="61"/>
  <c r="AQ63" i="61"/>
  <c r="AM63" i="61"/>
  <c r="AI63" i="61"/>
  <c r="AE63" i="61"/>
  <c r="AA63" i="61"/>
  <c r="W63" i="61"/>
  <c r="S63" i="61"/>
  <c r="O63" i="61"/>
  <c r="K63" i="61"/>
  <c r="G63" i="61"/>
  <c r="C63" i="61"/>
  <c r="BD63" i="61"/>
  <c r="AV63" i="61"/>
  <c r="AN63" i="61"/>
  <c r="AF63" i="61"/>
  <c r="X63" i="61"/>
  <c r="P63" i="61"/>
  <c r="H63" i="61"/>
  <c r="AZ63" i="61"/>
  <c r="AO63" i="61"/>
  <c r="AC63" i="61"/>
  <c r="T63" i="61"/>
  <c r="I63" i="61"/>
  <c r="BH63" i="61"/>
  <c r="AW63" i="61"/>
  <c r="AK63" i="61"/>
  <c r="AB63" i="61"/>
  <c r="Q63" i="61"/>
  <c r="E63" i="61"/>
  <c r="AR63" i="61"/>
  <c r="U63" i="61"/>
  <c r="BA63" i="61"/>
  <c r="BE63" i="61"/>
  <c r="AJ63" i="61"/>
  <c r="M63" i="61"/>
  <c r="AG63" i="61"/>
  <c r="L63" i="61"/>
  <c r="AS63" i="61"/>
  <c r="Y63" i="61"/>
  <c r="D63" i="61"/>
  <c r="AM30" i="61"/>
  <c r="V30" i="61"/>
  <c r="AS30" i="61"/>
  <c r="Q30" i="61"/>
  <c r="R30" i="61"/>
  <c r="AW30" i="61"/>
  <c r="M30" i="61"/>
  <c r="S30" i="61"/>
  <c r="P30" i="61"/>
  <c r="U30" i="61"/>
  <c r="AQ30" i="61"/>
  <c r="T30" i="61"/>
  <c r="Y30" i="61"/>
  <c r="AB30" i="61"/>
  <c r="AP30" i="61"/>
  <c r="BG30" i="61"/>
  <c r="BG67" i="60"/>
  <c r="BH66" i="60"/>
  <c r="BH67" i="60" s="1"/>
  <c r="AW77" i="60"/>
  <c r="M25" i="60"/>
  <c r="F10" i="8"/>
  <c r="F11" i="8" s="1"/>
  <c r="F40" i="8"/>
  <c r="F41" i="8" s="1"/>
  <c r="C98" i="61"/>
  <c r="C101" i="61"/>
  <c r="L30" i="61"/>
  <c r="H30" i="61"/>
  <c r="C30" i="61"/>
  <c r="C127" i="61"/>
  <c r="F30" i="61"/>
  <c r="E30" i="61"/>
  <c r="K30" i="61"/>
  <c r="D30" i="61"/>
  <c r="J30" i="61"/>
  <c r="G30" i="61"/>
  <c r="I30" i="61"/>
  <c r="AX1" i="60"/>
  <c r="BB28" i="60"/>
  <c r="BG38" i="60"/>
  <c r="J124" i="60"/>
  <c r="H10" i="22"/>
  <c r="F18" i="8"/>
  <c r="I18" i="8" s="1"/>
  <c r="C45" i="8"/>
  <c r="C46" i="8" s="1"/>
  <c r="C106" i="30"/>
  <c r="F19" i="8"/>
  <c r="I19" i="8" s="1"/>
  <c r="F47" i="8"/>
  <c r="B10" i="27"/>
  <c r="B37" i="27"/>
  <c r="B38" i="27"/>
  <c r="B11" i="27"/>
  <c r="D15" i="4"/>
  <c r="C60" i="7"/>
  <c r="C41" i="7"/>
  <c r="F7" i="8"/>
  <c r="F8" i="8" s="1"/>
  <c r="F14" i="8"/>
  <c r="C12" i="7"/>
  <c r="C13" i="7" s="1"/>
  <c r="C30" i="7"/>
  <c r="C32" i="7" s="1"/>
  <c r="C2" i="7"/>
  <c r="C12" i="30"/>
  <c r="C17" i="30"/>
  <c r="H3" i="23"/>
  <c r="H28" i="23" s="1"/>
  <c r="B3" i="20" s="1"/>
  <c r="B15" i="20" s="1"/>
  <c r="E28" i="23"/>
  <c r="F17" i="8"/>
  <c r="I17" i="8" s="1"/>
  <c r="C72" i="30"/>
  <c r="C42" i="30"/>
  <c r="F31" i="30"/>
  <c r="F7" i="30"/>
  <c r="I24" i="8"/>
  <c r="F24" i="8"/>
  <c r="N6" i="6"/>
  <c r="B25" i="27"/>
  <c r="B26" i="27" s="1"/>
  <c r="B19" i="27"/>
  <c r="B20" i="27" s="1"/>
  <c r="B11" i="19"/>
  <c r="B21" i="7"/>
  <c r="C22" i="8"/>
  <c r="F30" i="8"/>
  <c r="I47" i="8"/>
  <c r="I30" i="8"/>
  <c r="C101" i="30"/>
  <c r="D9" i="4"/>
  <c r="D18" i="3"/>
  <c r="D7" i="3"/>
  <c r="AT69" i="60" l="1"/>
  <c r="AX71" i="60"/>
  <c r="AW74" i="60"/>
  <c r="AW75" i="60" s="1"/>
  <c r="AW73" i="60"/>
  <c r="AV70" i="60"/>
  <c r="Q25" i="60"/>
  <c r="P25" i="60"/>
  <c r="F45" i="8"/>
  <c r="F46" i="8" s="1"/>
  <c r="F7" i="61"/>
  <c r="D7" i="61"/>
  <c r="E7" i="61"/>
  <c r="H7" i="61"/>
  <c r="G7" i="61"/>
  <c r="C7" i="61"/>
  <c r="G6" i="60"/>
  <c r="C6" i="60"/>
  <c r="F6" i="60"/>
  <c r="H6" i="60"/>
  <c r="D6" i="60"/>
  <c r="E6" i="60"/>
  <c r="C124" i="60"/>
  <c r="C77" i="61"/>
  <c r="BH4" i="61"/>
  <c r="BD4" i="61"/>
  <c r="AZ4" i="61"/>
  <c r="AV4" i="61"/>
  <c r="AR4" i="61"/>
  <c r="AN4" i="61"/>
  <c r="AJ4" i="61"/>
  <c r="AF4" i="61"/>
  <c r="AB4" i="61"/>
  <c r="X4" i="61"/>
  <c r="T4" i="61"/>
  <c r="P4" i="61"/>
  <c r="L4" i="61"/>
  <c r="H4" i="61"/>
  <c r="D4" i="61"/>
  <c r="BB4" i="61"/>
  <c r="AT4" i="61"/>
  <c r="AL4" i="61"/>
  <c r="AD4" i="61"/>
  <c r="V4" i="61"/>
  <c r="N4" i="61"/>
  <c r="F4" i="61"/>
  <c r="BG4" i="61"/>
  <c r="BC4" i="61"/>
  <c r="AY4" i="61"/>
  <c r="AU4" i="61"/>
  <c r="AQ4" i="61"/>
  <c r="AM4" i="61"/>
  <c r="AI4" i="61"/>
  <c r="AE4" i="61"/>
  <c r="AA4" i="61"/>
  <c r="W4" i="61"/>
  <c r="S4" i="61"/>
  <c r="O4" i="61"/>
  <c r="K4" i="61"/>
  <c r="G4" i="61"/>
  <c r="C4" i="61"/>
  <c r="BF4" i="61"/>
  <c r="AX4" i="61"/>
  <c r="AP4" i="61"/>
  <c r="AH4" i="61"/>
  <c r="Z4" i="61"/>
  <c r="R4" i="61"/>
  <c r="J4" i="61"/>
  <c r="AW4" i="61"/>
  <c r="AG4" i="61"/>
  <c r="Q4" i="61"/>
  <c r="AS4" i="61"/>
  <c r="AC4" i="61"/>
  <c r="BE4" i="61"/>
  <c r="Y4" i="61"/>
  <c r="AK4" i="61"/>
  <c r="M4" i="61"/>
  <c r="AO4" i="61"/>
  <c r="I4" i="61"/>
  <c r="BA4" i="61"/>
  <c r="U4" i="61"/>
  <c r="E4" i="61"/>
  <c r="BF3" i="60"/>
  <c r="BB3" i="60"/>
  <c r="AX3" i="60"/>
  <c r="AP3" i="60"/>
  <c r="BE3" i="60"/>
  <c r="BA3" i="60"/>
  <c r="AW3" i="60"/>
  <c r="AU3" i="60"/>
  <c r="BH3" i="60"/>
  <c r="BD3" i="60"/>
  <c r="AZ3" i="60"/>
  <c r="AV3" i="60"/>
  <c r="AT3" i="60"/>
  <c r="AR3" i="60"/>
  <c r="AN3" i="60"/>
  <c r="BG3" i="60"/>
  <c r="BC3" i="60"/>
  <c r="AY3" i="60"/>
  <c r="AS3" i="60"/>
  <c r="AQ3" i="60"/>
  <c r="AO3" i="60"/>
  <c r="AM3" i="60"/>
  <c r="AI3" i="60"/>
  <c r="AE3" i="60"/>
  <c r="AA3" i="60"/>
  <c r="W3" i="60"/>
  <c r="S3" i="60"/>
  <c r="O3" i="60"/>
  <c r="K3" i="60"/>
  <c r="G3" i="60"/>
  <c r="C3" i="60"/>
  <c r="AL3" i="60"/>
  <c r="AH3" i="60"/>
  <c r="AD3" i="60"/>
  <c r="Z3" i="60"/>
  <c r="V3" i="60"/>
  <c r="R3" i="60"/>
  <c r="N3" i="60"/>
  <c r="J3" i="60"/>
  <c r="F3" i="60"/>
  <c r="AK3" i="60"/>
  <c r="AG3" i="60"/>
  <c r="AC3" i="60"/>
  <c r="Y3" i="60"/>
  <c r="U3" i="60"/>
  <c r="Q3" i="60"/>
  <c r="M3" i="60"/>
  <c r="I3" i="60"/>
  <c r="E3" i="60"/>
  <c r="AJ3" i="60"/>
  <c r="AF3" i="60"/>
  <c r="AB3" i="60"/>
  <c r="X3" i="60"/>
  <c r="T3" i="60"/>
  <c r="P3" i="60"/>
  <c r="L3" i="60"/>
  <c r="H3" i="60"/>
  <c r="D3" i="60"/>
  <c r="C105" i="61"/>
  <c r="C106" i="61" s="1"/>
  <c r="BF5" i="61"/>
  <c r="BB5" i="61"/>
  <c r="AX5" i="61"/>
  <c r="AT5" i="61"/>
  <c r="AP5" i="61"/>
  <c r="AL5" i="61"/>
  <c r="AH5" i="61"/>
  <c r="AD5" i="61"/>
  <c r="Z5" i="61"/>
  <c r="V5" i="61"/>
  <c r="R5" i="61"/>
  <c r="N5" i="61"/>
  <c r="J5" i="61"/>
  <c r="F5" i="61"/>
  <c r="BH5" i="61"/>
  <c r="AZ5" i="61"/>
  <c r="AR5" i="61"/>
  <c r="AJ5" i="61"/>
  <c r="AB5" i="61"/>
  <c r="T5" i="61"/>
  <c r="L5" i="61"/>
  <c r="D5" i="61"/>
  <c r="BE5" i="61"/>
  <c r="BA5" i="61"/>
  <c r="AW5" i="61"/>
  <c r="AS5" i="61"/>
  <c r="AO5" i="61"/>
  <c r="AK5" i="61"/>
  <c r="AG5" i="61"/>
  <c r="AC5" i="61"/>
  <c r="Y5" i="61"/>
  <c r="U5" i="61"/>
  <c r="Q5" i="61"/>
  <c r="M5" i="61"/>
  <c r="I5" i="61"/>
  <c r="E5" i="61"/>
  <c r="BD5" i="61"/>
  <c r="AV5" i="61"/>
  <c r="AN5" i="61"/>
  <c r="AF5" i="61"/>
  <c r="X5" i="61"/>
  <c r="P5" i="61"/>
  <c r="H5" i="61"/>
  <c r="BC5" i="61"/>
  <c r="AM5" i="61"/>
  <c r="W5" i="61"/>
  <c r="G5" i="61"/>
  <c r="AY5" i="61"/>
  <c r="AI5" i="61"/>
  <c r="C5" i="61"/>
  <c r="AE5" i="61"/>
  <c r="S5" i="61"/>
  <c r="AU5" i="61"/>
  <c r="O5" i="61"/>
  <c r="BG5" i="61"/>
  <c r="AQ5" i="61"/>
  <c r="AA5" i="61"/>
  <c r="K5" i="61"/>
  <c r="BD4" i="60"/>
  <c r="AZ4" i="60"/>
  <c r="AV4" i="60"/>
  <c r="AS4" i="60"/>
  <c r="AQ4" i="60"/>
  <c r="BH4" i="60"/>
  <c r="BG4" i="60"/>
  <c r="BC4" i="60"/>
  <c r="AY4" i="60"/>
  <c r="AP4" i="60"/>
  <c r="AN4" i="60"/>
  <c r="BF4" i="60"/>
  <c r="BB4" i="60"/>
  <c r="AX4" i="60"/>
  <c r="AU4" i="60"/>
  <c r="AO4" i="60"/>
  <c r="BE4" i="60"/>
  <c r="BA4" i="60"/>
  <c r="AW4" i="60"/>
  <c r="AT4" i="60"/>
  <c r="AR4" i="60"/>
  <c r="AL4" i="60"/>
  <c r="AH4" i="60"/>
  <c r="AD4" i="60"/>
  <c r="Z4" i="60"/>
  <c r="V4" i="60"/>
  <c r="R4" i="60"/>
  <c r="N4" i="60"/>
  <c r="J4" i="60"/>
  <c r="F4" i="60"/>
  <c r="AK4" i="60"/>
  <c r="AG4" i="60"/>
  <c r="AC4" i="60"/>
  <c r="Y4" i="60"/>
  <c r="U4" i="60"/>
  <c r="Q4" i="60"/>
  <c r="M4" i="60"/>
  <c r="I4" i="60"/>
  <c r="E4" i="60"/>
  <c r="AJ4" i="60"/>
  <c r="AF4" i="60"/>
  <c r="AB4" i="60"/>
  <c r="X4" i="60"/>
  <c r="T4" i="60"/>
  <c r="P4" i="60"/>
  <c r="L4" i="60"/>
  <c r="H4" i="60"/>
  <c r="D4" i="60"/>
  <c r="AM4" i="60"/>
  <c r="AI4" i="60"/>
  <c r="AE4" i="60"/>
  <c r="AA4" i="60"/>
  <c r="W4" i="60"/>
  <c r="S4" i="60"/>
  <c r="O4" i="60"/>
  <c r="K4" i="60"/>
  <c r="G4" i="60"/>
  <c r="C4" i="60"/>
  <c r="H6" i="61"/>
  <c r="D6" i="61"/>
  <c r="G6" i="61"/>
  <c r="C6" i="61"/>
  <c r="F6" i="61"/>
  <c r="E6" i="61"/>
  <c r="E5" i="60"/>
  <c r="E50" i="60" s="1"/>
  <c r="H5" i="60"/>
  <c r="H50" i="60" s="1"/>
  <c r="D5" i="60"/>
  <c r="D50" i="60" s="1"/>
  <c r="C5" i="60"/>
  <c r="C50" i="60" s="1"/>
  <c r="F5" i="60"/>
  <c r="F50" i="60" s="1"/>
  <c r="G5" i="60"/>
  <c r="G50" i="60" s="1"/>
  <c r="C114" i="61"/>
  <c r="G39" i="61"/>
  <c r="H39" i="61"/>
  <c r="J39" i="61"/>
  <c r="F39" i="61"/>
  <c r="K39" i="61"/>
  <c r="L39" i="61"/>
  <c r="E39" i="61"/>
  <c r="I39" i="61"/>
  <c r="B39" i="27"/>
  <c r="B41" i="27" s="1"/>
  <c r="AX77" i="60"/>
  <c r="AY1" i="60"/>
  <c r="BH38" i="60"/>
  <c r="BC28" i="60"/>
  <c r="H11" i="22"/>
  <c r="B8" i="54"/>
  <c r="B15" i="54" s="1"/>
  <c r="B12" i="27"/>
  <c r="B14" i="27" s="1"/>
  <c r="F37" i="30"/>
  <c r="F32" i="30"/>
  <c r="B17" i="20"/>
  <c r="B26" i="20"/>
  <c r="B18" i="20"/>
  <c r="C107" i="30"/>
  <c r="C104" i="30"/>
  <c r="C105" i="30"/>
  <c r="I22" i="8"/>
  <c r="I25" i="8" s="1"/>
  <c r="F22" i="8"/>
  <c r="F32" i="8" s="1"/>
  <c r="F34" i="8" s="1"/>
  <c r="C46" i="30"/>
  <c r="C45" i="30"/>
  <c r="C48" i="30"/>
  <c r="C25" i="8"/>
  <c r="C78" i="30"/>
  <c r="C76" i="30"/>
  <c r="C75" i="30"/>
  <c r="C15" i="30"/>
  <c r="C18" i="30"/>
  <c r="C16" i="30"/>
  <c r="C32" i="8"/>
  <c r="C42" i="8" s="1"/>
  <c r="F13" i="30"/>
  <c r="F11" i="30"/>
  <c r="F10" i="30"/>
  <c r="G49" i="60" l="1"/>
  <c r="G64" i="60"/>
  <c r="F49" i="60"/>
  <c r="F64" i="60"/>
  <c r="E49" i="60"/>
  <c r="E64" i="60"/>
  <c r="D49" i="60"/>
  <c r="D64" i="60"/>
  <c r="H49" i="60"/>
  <c r="H64" i="60"/>
  <c r="C49" i="60"/>
  <c r="B21" i="20"/>
  <c r="B23" i="20" s="1"/>
  <c r="F14" i="30"/>
  <c r="F16" i="30" s="1"/>
  <c r="B45" i="27"/>
  <c r="B46" i="27" s="1"/>
  <c r="Q8" i="61"/>
  <c r="K8" i="61"/>
  <c r="AA8" i="61"/>
  <c r="AQ8" i="61"/>
  <c r="AD8" i="61"/>
  <c r="T8" i="61"/>
  <c r="AJ8" i="61"/>
  <c r="AZ8" i="61"/>
  <c r="AU69" i="60"/>
  <c r="AY71" i="60"/>
  <c r="AX73" i="60"/>
  <c r="AX74" i="60"/>
  <c r="AX75" i="60" s="1"/>
  <c r="AW70" i="60"/>
  <c r="X7" i="60"/>
  <c r="U7" i="60"/>
  <c r="R7" i="60"/>
  <c r="K7" i="60"/>
  <c r="AO7" i="60"/>
  <c r="AT7" i="60"/>
  <c r="H7" i="60"/>
  <c r="E7" i="60"/>
  <c r="AK7" i="60"/>
  <c r="AH7" i="60"/>
  <c r="AA7" i="60"/>
  <c r="BC7" i="60"/>
  <c r="BH7" i="60"/>
  <c r="BF7" i="60"/>
  <c r="I8" i="61"/>
  <c r="R8" i="61"/>
  <c r="BG8" i="61"/>
  <c r="D8" i="61"/>
  <c r="C108" i="30"/>
  <c r="C110" i="30" s="1"/>
  <c r="C117" i="30" s="1"/>
  <c r="C119" i="30" s="1"/>
  <c r="C19" i="30"/>
  <c r="C21" i="30" s="1"/>
  <c r="C27" i="30" s="1"/>
  <c r="C29" i="30" s="1"/>
  <c r="BH24" i="61"/>
  <c r="BD24" i="61"/>
  <c r="AZ24" i="61"/>
  <c r="AV24" i="61"/>
  <c r="BF24" i="61"/>
  <c r="BA24" i="61"/>
  <c r="AU24" i="61"/>
  <c r="AQ24" i="61"/>
  <c r="AM24" i="61"/>
  <c r="AI24" i="61"/>
  <c r="AE24" i="61"/>
  <c r="AA24" i="61"/>
  <c r="W24" i="61"/>
  <c r="S24" i="61"/>
  <c r="O24" i="61"/>
  <c r="K24" i="61"/>
  <c r="G24" i="61"/>
  <c r="C24" i="61"/>
  <c r="BC24" i="61"/>
  <c r="AS24" i="61"/>
  <c r="AK24" i="61"/>
  <c r="AC24" i="61"/>
  <c r="U24" i="61"/>
  <c r="M24" i="61"/>
  <c r="I24" i="61"/>
  <c r="BE24" i="61"/>
  <c r="AY24" i="61"/>
  <c r="AT24" i="61"/>
  <c r="AP24" i="61"/>
  <c r="AL24" i="61"/>
  <c r="AH24" i="61"/>
  <c r="AD24" i="61"/>
  <c r="Z24" i="61"/>
  <c r="V24" i="61"/>
  <c r="R24" i="61"/>
  <c r="N24" i="61"/>
  <c r="J24" i="61"/>
  <c r="F24" i="61"/>
  <c r="AX24" i="61"/>
  <c r="AO24" i="61"/>
  <c r="AG24" i="61"/>
  <c r="Y24" i="61"/>
  <c r="Q24" i="61"/>
  <c r="E24" i="61"/>
  <c r="AW24" i="61"/>
  <c r="AF24" i="61"/>
  <c r="P24" i="61"/>
  <c r="AN24" i="61"/>
  <c r="X24" i="61"/>
  <c r="H24" i="61"/>
  <c r="AR24" i="61"/>
  <c r="AB24" i="61"/>
  <c r="L24" i="61"/>
  <c r="BG24" i="61"/>
  <c r="BB24" i="61"/>
  <c r="AJ24" i="61"/>
  <c r="T24" i="61"/>
  <c r="D24" i="61"/>
  <c r="C19" i="60"/>
  <c r="D19" i="60"/>
  <c r="E19" i="60"/>
  <c r="F19" i="60"/>
  <c r="G19" i="60"/>
  <c r="H19" i="60"/>
  <c r="I19" i="60"/>
  <c r="J19" i="60"/>
  <c r="K19" i="60"/>
  <c r="L19" i="60"/>
  <c r="M19" i="60"/>
  <c r="N19" i="60"/>
  <c r="O19" i="60"/>
  <c r="P19" i="60"/>
  <c r="Q19" i="60"/>
  <c r="R19" i="60"/>
  <c r="S19" i="60"/>
  <c r="T19" i="60"/>
  <c r="U19" i="60"/>
  <c r="V19" i="60"/>
  <c r="W19" i="60"/>
  <c r="X19" i="60"/>
  <c r="Y19" i="60"/>
  <c r="Z19" i="60"/>
  <c r="AA19" i="60"/>
  <c r="AB19" i="60"/>
  <c r="AC19" i="60"/>
  <c r="AD19" i="60"/>
  <c r="AE19" i="60"/>
  <c r="AF19" i="60"/>
  <c r="AG19" i="60"/>
  <c r="AH19" i="60"/>
  <c r="AI19" i="60"/>
  <c r="AJ19" i="60"/>
  <c r="AK19" i="60"/>
  <c r="AL19" i="60"/>
  <c r="C107" i="61"/>
  <c r="C109" i="61"/>
  <c r="D7" i="60"/>
  <c r="T7" i="60"/>
  <c r="AJ7" i="60"/>
  <c r="Q7" i="60"/>
  <c r="AG7" i="60"/>
  <c r="N7" i="60"/>
  <c r="AD7" i="60"/>
  <c r="G7" i="60"/>
  <c r="W7" i="60"/>
  <c r="AM7" i="60"/>
  <c r="AY7" i="60"/>
  <c r="AR7" i="60"/>
  <c r="BD7" i="60"/>
  <c r="BA7" i="60"/>
  <c r="BB7" i="60"/>
  <c r="BA8" i="61"/>
  <c r="AK8" i="61"/>
  <c r="AS8" i="61"/>
  <c r="J8" i="61"/>
  <c r="AP8" i="61"/>
  <c r="G8" i="61"/>
  <c r="W8" i="61"/>
  <c r="AM8" i="61"/>
  <c r="BC8" i="61"/>
  <c r="V8" i="61"/>
  <c r="BB8" i="61"/>
  <c r="P8" i="61"/>
  <c r="AF8" i="61"/>
  <c r="AV8" i="61"/>
  <c r="C102" i="61"/>
  <c r="BH66" i="61"/>
  <c r="BD66" i="61"/>
  <c r="AZ66" i="61"/>
  <c r="AV66" i="61"/>
  <c r="AR66" i="61"/>
  <c r="AN66" i="61"/>
  <c r="AJ66" i="61"/>
  <c r="AF66" i="61"/>
  <c r="AB66" i="61"/>
  <c r="X66" i="61"/>
  <c r="T66" i="61"/>
  <c r="P66" i="61"/>
  <c r="L66" i="61"/>
  <c r="H66" i="61"/>
  <c r="D66" i="61"/>
  <c r="BE66" i="61"/>
  <c r="BA66" i="61"/>
  <c r="AW66" i="61"/>
  <c r="AS66" i="61"/>
  <c r="AO66" i="61"/>
  <c r="AK66" i="61"/>
  <c r="AG66" i="61"/>
  <c r="AC66" i="61"/>
  <c r="Y66" i="61"/>
  <c r="U66" i="61"/>
  <c r="Q66" i="61"/>
  <c r="M66" i="61"/>
  <c r="I66" i="61"/>
  <c r="E66" i="61"/>
  <c r="BC66" i="61"/>
  <c r="AU66" i="61"/>
  <c r="AM66" i="61"/>
  <c r="AE66" i="61"/>
  <c r="W66" i="61"/>
  <c r="O66" i="61"/>
  <c r="G66" i="61"/>
  <c r="BB66" i="61"/>
  <c r="AT66" i="61"/>
  <c r="AL66" i="61"/>
  <c r="AD66" i="61"/>
  <c r="V66" i="61"/>
  <c r="N66" i="61"/>
  <c r="F66" i="61"/>
  <c r="BF66" i="61"/>
  <c r="AP66" i="61"/>
  <c r="Z66" i="61"/>
  <c r="J66" i="61"/>
  <c r="AY66" i="61"/>
  <c r="AI66" i="61"/>
  <c r="S66" i="61"/>
  <c r="C66" i="61"/>
  <c r="BG66" i="61"/>
  <c r="AA66" i="61"/>
  <c r="K66" i="61"/>
  <c r="AX66" i="61"/>
  <c r="R66" i="61"/>
  <c r="AQ66" i="61"/>
  <c r="AH66" i="61"/>
  <c r="C113" i="61"/>
  <c r="C117" i="61" s="1"/>
  <c r="C135" i="61" s="1"/>
  <c r="L7" i="60"/>
  <c r="AB7" i="60"/>
  <c r="I7" i="60"/>
  <c r="Y7" i="60"/>
  <c r="F7" i="60"/>
  <c r="V7" i="60"/>
  <c r="AL7" i="60"/>
  <c r="O7" i="60"/>
  <c r="AE7" i="60"/>
  <c r="AQ7" i="60"/>
  <c r="BG7" i="60"/>
  <c r="AV7" i="60"/>
  <c r="AU7" i="60"/>
  <c r="AP7" i="60"/>
  <c r="E8" i="61"/>
  <c r="AO8" i="61"/>
  <c r="BE8" i="61"/>
  <c r="AG8" i="61"/>
  <c r="Z8" i="61"/>
  <c r="BF8" i="61"/>
  <c r="O8" i="61"/>
  <c r="AE8" i="61"/>
  <c r="AU8" i="61"/>
  <c r="F8" i="61"/>
  <c r="AL8" i="61"/>
  <c r="H8" i="61"/>
  <c r="X8" i="61"/>
  <c r="AN8" i="61"/>
  <c r="BD8" i="61"/>
  <c r="C76" i="61"/>
  <c r="BE7" i="60"/>
  <c r="Y8" i="61"/>
  <c r="AX8" i="61"/>
  <c r="G29" i="61"/>
  <c r="E29" i="61"/>
  <c r="L29" i="61"/>
  <c r="I29" i="61"/>
  <c r="K29" i="61"/>
  <c r="H29" i="61"/>
  <c r="J29" i="61"/>
  <c r="F29" i="61"/>
  <c r="P7" i="60"/>
  <c r="AF7" i="60"/>
  <c r="M7" i="60"/>
  <c r="AC7" i="60"/>
  <c r="J7" i="60"/>
  <c r="Z7" i="60"/>
  <c r="C7" i="60"/>
  <c r="S7" i="60"/>
  <c r="AI7" i="60"/>
  <c r="AS7" i="60"/>
  <c r="AN7" i="60"/>
  <c r="AZ7" i="60"/>
  <c r="AW7" i="60"/>
  <c r="AX7" i="60"/>
  <c r="U8" i="61"/>
  <c r="M8" i="61"/>
  <c r="AC8" i="61"/>
  <c r="AW8" i="61"/>
  <c r="AH8" i="61"/>
  <c r="C8" i="61"/>
  <c r="S8" i="61"/>
  <c r="AI8" i="61"/>
  <c r="AY8" i="61"/>
  <c r="N8" i="61"/>
  <c r="AT8" i="61"/>
  <c r="L8" i="61"/>
  <c r="AB8" i="61"/>
  <c r="AR8" i="61"/>
  <c r="BH8" i="61"/>
  <c r="AY77" i="60"/>
  <c r="AZ1" i="60"/>
  <c r="BD28" i="60"/>
  <c r="B26" i="54"/>
  <c r="B18" i="54"/>
  <c r="B17" i="54"/>
  <c r="B15" i="19"/>
  <c r="B35" i="19" s="1"/>
  <c r="B24" i="20"/>
  <c r="B27" i="20" s="1"/>
  <c r="C35" i="8"/>
  <c r="C34" i="8"/>
  <c r="B28" i="20"/>
  <c r="F25" i="8"/>
  <c r="F35" i="8"/>
  <c r="C79" i="30"/>
  <c r="C81" i="30" s="1"/>
  <c r="C87" i="30" s="1"/>
  <c r="C89" i="30" s="1"/>
  <c r="I32" i="8"/>
  <c r="F42" i="8"/>
  <c r="C49" i="30"/>
  <c r="C51" i="30" s="1"/>
  <c r="C57" i="30" s="1"/>
  <c r="C59" i="30" s="1"/>
  <c r="F38" i="30"/>
  <c r="F35" i="30"/>
  <c r="F36" i="30"/>
  <c r="F86" i="60" l="1"/>
  <c r="F89" i="60" s="1"/>
  <c r="F87" i="60"/>
  <c r="F98" i="60"/>
  <c r="H87" i="60"/>
  <c r="H86" i="60"/>
  <c r="H89" i="60" s="1"/>
  <c r="H98" i="60"/>
  <c r="E98" i="60"/>
  <c r="E87" i="60"/>
  <c r="E86" i="60"/>
  <c r="E89" i="60" s="1"/>
  <c r="G87" i="60"/>
  <c r="G86" i="60"/>
  <c r="G89" i="60" s="1"/>
  <c r="G98" i="60"/>
  <c r="D87" i="60"/>
  <c r="D86" i="60"/>
  <c r="D89" i="60" s="1"/>
  <c r="D98" i="60"/>
  <c r="B29" i="20"/>
  <c r="F22" i="30"/>
  <c r="F24" i="30" s="1"/>
  <c r="C72" i="60"/>
  <c r="G72" i="60"/>
  <c r="K72" i="60"/>
  <c r="O72" i="60"/>
  <c r="S72" i="60"/>
  <c r="W72" i="60"/>
  <c r="AA72" i="60"/>
  <c r="AE72" i="60"/>
  <c r="AI72" i="60"/>
  <c r="AM72" i="60"/>
  <c r="AQ72" i="60"/>
  <c r="AU72" i="60"/>
  <c r="AZ71" i="60"/>
  <c r="AY74" i="60"/>
  <c r="AY75" i="60" s="1"/>
  <c r="AY73" i="60"/>
  <c r="AX70" i="60"/>
  <c r="AV69" i="60"/>
  <c r="B21" i="54"/>
  <c r="B23" i="54" s="1"/>
  <c r="B24" i="54" s="1"/>
  <c r="B28" i="54" s="1"/>
  <c r="D110" i="61"/>
  <c r="AZ77" i="60"/>
  <c r="BA1" i="60"/>
  <c r="BE28" i="60"/>
  <c r="B17" i="19"/>
  <c r="B21" i="19" s="1"/>
  <c r="B25" i="19" s="1"/>
  <c r="B42" i="7"/>
  <c r="C42" i="7" s="1"/>
  <c r="B32" i="20"/>
  <c r="B31" i="20"/>
  <c r="B33" i="20" s="1"/>
  <c r="F39" i="30"/>
  <c r="F41" i="30" s="1"/>
  <c r="I35" i="8"/>
  <c r="I34" i="8"/>
  <c r="I42" i="8"/>
  <c r="F46" i="30" l="1"/>
  <c r="F48" i="30" s="1"/>
  <c r="AV72" i="60"/>
  <c r="AT72" i="60"/>
  <c r="AP72" i="60"/>
  <c r="AL72" i="60"/>
  <c r="AH72" i="60"/>
  <c r="AD72" i="60"/>
  <c r="Z72" i="60"/>
  <c r="V72" i="60"/>
  <c r="R72" i="60"/>
  <c r="N72" i="60"/>
  <c r="J72" i="60"/>
  <c r="F72" i="60"/>
  <c r="AW72" i="60"/>
  <c r="AS72" i="60"/>
  <c r="AO72" i="60"/>
  <c r="AK72" i="60"/>
  <c r="AG72" i="60"/>
  <c r="AC72" i="60"/>
  <c r="Y72" i="60"/>
  <c r="U72" i="60"/>
  <c r="Q72" i="60"/>
  <c r="M72" i="60"/>
  <c r="I72" i="60"/>
  <c r="E72" i="60"/>
  <c r="AR72" i="60"/>
  <c r="AN72" i="60"/>
  <c r="AJ72" i="60"/>
  <c r="AF72" i="60"/>
  <c r="AB72" i="60"/>
  <c r="X72" i="60"/>
  <c r="T72" i="60"/>
  <c r="P72" i="60"/>
  <c r="L72" i="60"/>
  <c r="H72" i="60"/>
  <c r="D72" i="60"/>
  <c r="BA71" i="60"/>
  <c r="AZ73" i="60"/>
  <c r="AZ74" i="60"/>
  <c r="AZ75" i="60" s="1"/>
  <c r="AY70" i="60"/>
  <c r="AW69" i="60"/>
  <c r="AX72" i="60"/>
  <c r="B27" i="54"/>
  <c r="D129" i="61"/>
  <c r="D118" i="61"/>
  <c r="D114" i="61"/>
  <c r="D115" i="61" s="1"/>
  <c r="D119" i="61"/>
  <c r="D113" i="61"/>
  <c r="D117" i="61" s="1"/>
  <c r="BA77" i="60"/>
  <c r="B29" i="54"/>
  <c r="B31" i="54" s="1"/>
  <c r="BB1" i="60"/>
  <c r="BF28" i="60"/>
  <c r="C59" i="7"/>
  <c r="C46" i="7"/>
  <c r="F68" i="30"/>
  <c r="F55" i="30" s="1"/>
  <c r="F98" i="30"/>
  <c r="B3" i="7"/>
  <c r="B3" i="19"/>
  <c r="B13" i="19" s="1"/>
  <c r="AY72" i="60" l="1"/>
  <c r="AX69" i="60"/>
  <c r="BB71" i="60"/>
  <c r="BA73" i="60"/>
  <c r="BA74" i="60"/>
  <c r="BA75" i="60" s="1"/>
  <c r="AZ70" i="60"/>
  <c r="B32" i="54"/>
  <c r="D120" i="61"/>
  <c r="D123" i="61"/>
  <c r="D128" i="61" s="1"/>
  <c r="D74" i="61"/>
  <c r="BB77" i="60"/>
  <c r="B33" i="54"/>
  <c r="B3" i="53" s="1"/>
  <c r="BD48" i="61" s="1"/>
  <c r="AR48" i="61"/>
  <c r="AX48" i="61"/>
  <c r="AW48" i="61"/>
  <c r="BC48" i="61"/>
  <c r="AM48" i="61"/>
  <c r="G48" i="61"/>
  <c r="O48" i="61"/>
  <c r="V48" i="61"/>
  <c r="C48" i="61"/>
  <c r="Y48" i="61"/>
  <c r="AC48" i="61"/>
  <c r="Z48" i="61"/>
  <c r="AJ48" i="61"/>
  <c r="AL48" i="61"/>
  <c r="BC1" i="60"/>
  <c r="BG28" i="60"/>
  <c r="K124" i="60"/>
  <c r="AD56" i="60"/>
  <c r="G56" i="60"/>
  <c r="O56" i="60"/>
  <c r="E56" i="60"/>
  <c r="S56" i="60"/>
  <c r="F56" i="60"/>
  <c r="X56" i="60"/>
  <c r="H56" i="60"/>
  <c r="B6" i="53"/>
  <c r="B7" i="53" s="1"/>
  <c r="B32" i="53" s="1"/>
  <c r="C47" i="7"/>
  <c r="C35" i="7"/>
  <c r="B6" i="19"/>
  <c r="B7" i="19" s="1"/>
  <c r="F81" i="30"/>
  <c r="F54" i="30"/>
  <c r="B16" i="53" l="1"/>
  <c r="Q56" i="60"/>
  <c r="W56" i="60"/>
  <c r="J56" i="60"/>
  <c r="AG56" i="60"/>
  <c r="M56" i="60"/>
  <c r="N56" i="60"/>
  <c r="V56" i="60"/>
  <c r="C56" i="60"/>
  <c r="AG48" i="61"/>
  <c r="X48" i="61"/>
  <c r="J48" i="61"/>
  <c r="AH48" i="61"/>
  <c r="W48" i="61"/>
  <c r="Q48" i="61"/>
  <c r="F48" i="61"/>
  <c r="E48" i="61"/>
  <c r="AT48" i="61"/>
  <c r="AQ48" i="61"/>
  <c r="BG48" i="61"/>
  <c r="BA48" i="61"/>
  <c r="BB48" i="61"/>
  <c r="AV48" i="61"/>
  <c r="AA56" i="60"/>
  <c r="AJ56" i="60"/>
  <c r="P56" i="60"/>
  <c r="AF56" i="60"/>
  <c r="AC56" i="60"/>
  <c r="Y56" i="60"/>
  <c r="Z56" i="60"/>
  <c r="R56" i="60"/>
  <c r="AB48" i="61"/>
  <c r="M48" i="61"/>
  <c r="D48" i="61"/>
  <c r="U48" i="61"/>
  <c r="N48" i="61"/>
  <c r="AF48" i="61"/>
  <c r="AK48" i="61"/>
  <c r="AS48" i="61"/>
  <c r="BF48" i="61"/>
  <c r="AU48" i="61"/>
  <c r="AA48" i="61"/>
  <c r="AI48" i="61"/>
  <c r="S48" i="61"/>
  <c r="AZ48" i="61"/>
  <c r="I56" i="60"/>
  <c r="L56" i="60"/>
  <c r="U56" i="60"/>
  <c r="T56" i="60"/>
  <c r="AI56" i="60"/>
  <c r="K56" i="60"/>
  <c r="AE56" i="60"/>
  <c r="AB56" i="60"/>
  <c r="D56" i="60"/>
  <c r="AH56" i="60"/>
  <c r="R48" i="61"/>
  <c r="AD48" i="61"/>
  <c r="P48" i="61"/>
  <c r="T48" i="61"/>
  <c r="K48" i="61"/>
  <c r="I48" i="61"/>
  <c r="H48" i="61"/>
  <c r="AE48" i="61"/>
  <c r="BE48" i="61"/>
  <c r="L48" i="61"/>
  <c r="AY48" i="61"/>
  <c r="AO48" i="61"/>
  <c r="AP48" i="61"/>
  <c r="AN48" i="61"/>
  <c r="BH48" i="61"/>
  <c r="BC71" i="60"/>
  <c r="BB73" i="60"/>
  <c r="BB74" i="60"/>
  <c r="BB75" i="60" s="1"/>
  <c r="BA70" i="60"/>
  <c r="AZ72" i="60"/>
  <c r="AY69" i="60"/>
  <c r="C93" i="61"/>
  <c r="BE41" i="61"/>
  <c r="BA41" i="61"/>
  <c r="AW41" i="61"/>
  <c r="AS41" i="61"/>
  <c r="AO41" i="61"/>
  <c r="AK41" i="61"/>
  <c r="AG41" i="61"/>
  <c r="AC41" i="61"/>
  <c r="Y41" i="61"/>
  <c r="U41" i="61"/>
  <c r="Q41" i="61"/>
  <c r="M41" i="61"/>
  <c r="I41" i="61"/>
  <c r="E41" i="61"/>
  <c r="BF41" i="61"/>
  <c r="AZ41" i="61"/>
  <c r="AU41" i="61"/>
  <c r="AP41" i="61"/>
  <c r="AJ41" i="61"/>
  <c r="AE41" i="61"/>
  <c r="Z41" i="61"/>
  <c r="T41" i="61"/>
  <c r="O41" i="61"/>
  <c r="J41" i="61"/>
  <c r="D41" i="61"/>
  <c r="BD41" i="61"/>
  <c r="AY41" i="61"/>
  <c r="AT41" i="61"/>
  <c r="AN41" i="61"/>
  <c r="AI41" i="61"/>
  <c r="AD41" i="61"/>
  <c r="X41" i="61"/>
  <c r="S41" i="61"/>
  <c r="N41" i="61"/>
  <c r="H41" i="61"/>
  <c r="C41" i="61"/>
  <c r="C158" i="61" s="1"/>
  <c r="BG41" i="61"/>
  <c r="AV41" i="61"/>
  <c r="AL41" i="61"/>
  <c r="AA41" i="61"/>
  <c r="P41" i="61"/>
  <c r="F41" i="61"/>
  <c r="AQ41" i="61"/>
  <c r="V41" i="61"/>
  <c r="BC41" i="61"/>
  <c r="AR41" i="61"/>
  <c r="AH41" i="61"/>
  <c r="W41" i="61"/>
  <c r="L41" i="61"/>
  <c r="BB41" i="61"/>
  <c r="AF41" i="61"/>
  <c r="K41" i="61"/>
  <c r="AM41" i="61"/>
  <c r="BH41" i="61"/>
  <c r="AB41" i="61"/>
  <c r="R41" i="61"/>
  <c r="AX41" i="61"/>
  <c r="G41" i="61"/>
  <c r="D89" i="61"/>
  <c r="D76" i="61"/>
  <c r="D77" i="61"/>
  <c r="C73" i="61"/>
  <c r="D79" i="61"/>
  <c r="D105" i="61"/>
  <c r="D106" i="61" s="1"/>
  <c r="D100" i="60"/>
  <c r="C92" i="61"/>
  <c r="BG40" i="61"/>
  <c r="BC40" i="61"/>
  <c r="AY40" i="61"/>
  <c r="AU40" i="61"/>
  <c r="AQ40" i="61"/>
  <c r="AM40" i="61"/>
  <c r="AI40" i="61"/>
  <c r="AE40" i="61"/>
  <c r="AA40" i="61"/>
  <c r="W40" i="61"/>
  <c r="S40" i="61"/>
  <c r="BE40" i="61"/>
  <c r="AZ40" i="61"/>
  <c r="AT40" i="61"/>
  <c r="AO40" i="61"/>
  <c r="AJ40" i="61"/>
  <c r="AD40" i="61"/>
  <c r="Y40" i="61"/>
  <c r="T40" i="61"/>
  <c r="O40" i="61"/>
  <c r="K40" i="61"/>
  <c r="G40" i="61"/>
  <c r="C40" i="61"/>
  <c r="BD40" i="61"/>
  <c r="AX40" i="61"/>
  <c r="AS40" i="61"/>
  <c r="AN40" i="61"/>
  <c r="AH40" i="61"/>
  <c r="AC40" i="61"/>
  <c r="X40" i="61"/>
  <c r="R40" i="61"/>
  <c r="N40" i="61"/>
  <c r="J40" i="61"/>
  <c r="F40" i="61"/>
  <c r="BA40" i="61"/>
  <c r="AP40" i="61"/>
  <c r="AF40" i="61"/>
  <c r="U40" i="61"/>
  <c r="L40" i="61"/>
  <c r="D40" i="61"/>
  <c r="BF40" i="61"/>
  <c r="AK40" i="61"/>
  <c r="P40" i="61"/>
  <c r="BH40" i="61"/>
  <c r="AW40" i="61"/>
  <c r="AL40" i="61"/>
  <c r="AB40" i="61"/>
  <c r="Q40" i="61"/>
  <c r="I40" i="61"/>
  <c r="AV40" i="61"/>
  <c r="Z40" i="61"/>
  <c r="H40" i="61"/>
  <c r="BB40" i="61"/>
  <c r="M40" i="61"/>
  <c r="AG40" i="61"/>
  <c r="AR40" i="61"/>
  <c r="E40" i="61"/>
  <c r="V40" i="61"/>
  <c r="D126" i="61"/>
  <c r="D122" i="61"/>
  <c r="D125" i="61"/>
  <c r="D132" i="61" s="1"/>
  <c r="BC77" i="60"/>
  <c r="BD1" i="60"/>
  <c r="BH28" i="60"/>
  <c r="C49" i="7"/>
  <c r="C50" i="7" s="1"/>
  <c r="C52" i="7" s="1"/>
  <c r="C54" i="7" s="1"/>
  <c r="B37" i="53"/>
  <c r="D7" i="53"/>
  <c r="B26" i="19"/>
  <c r="B29" i="19" s="1"/>
  <c r="D7" i="19"/>
  <c r="F56" i="30"/>
  <c r="F61" i="30"/>
  <c r="B30" i="19"/>
  <c r="F90" i="30"/>
  <c r="F85" i="30"/>
  <c r="BA72" i="60" l="1"/>
  <c r="AZ69" i="60"/>
  <c r="BD71" i="60"/>
  <c r="BC74" i="60"/>
  <c r="BC75" i="60" s="1"/>
  <c r="BC73" i="60"/>
  <c r="BB70" i="60"/>
  <c r="C75" i="61"/>
  <c r="C81" i="61"/>
  <c r="D90" i="61"/>
  <c r="D92" i="61"/>
  <c r="C88" i="61"/>
  <c r="C91" i="61" s="1"/>
  <c r="D93" i="61"/>
  <c r="D158" i="61" s="1"/>
  <c r="D109" i="61"/>
  <c r="D107" i="61"/>
  <c r="B28" i="19"/>
  <c r="D91" i="60"/>
  <c r="BD77" i="60"/>
  <c r="BE1" i="60"/>
  <c r="B36" i="53"/>
  <c r="B35" i="53"/>
  <c r="B34" i="53"/>
  <c r="F91" i="30"/>
  <c r="F89" i="30"/>
  <c r="F88" i="30"/>
  <c r="F59" i="30"/>
  <c r="F60" i="30"/>
  <c r="F62" i="30"/>
  <c r="BB72" i="60" l="1"/>
  <c r="BA69" i="60"/>
  <c r="BE71" i="60"/>
  <c r="BD74" i="60"/>
  <c r="BD75" i="60" s="1"/>
  <c r="BD73" i="60"/>
  <c r="BC70" i="60"/>
  <c r="D94" i="60"/>
  <c r="D93" i="60"/>
  <c r="D111" i="61"/>
  <c r="C108" i="61"/>
  <c r="E110" i="61"/>
  <c r="C111" i="61"/>
  <c r="C90" i="60"/>
  <c r="D95" i="61"/>
  <c r="D99" i="61"/>
  <c r="D100" i="61" s="1"/>
  <c r="D80" i="61"/>
  <c r="C136" i="61"/>
  <c r="C138" i="61" s="1"/>
  <c r="BE77" i="60"/>
  <c r="BF1" i="60"/>
  <c r="F63" i="30"/>
  <c r="F65" i="30" s="1"/>
  <c r="F71" i="30" s="1"/>
  <c r="F73" i="30" s="1"/>
  <c r="F92" i="30"/>
  <c r="F94" i="30" s="1"/>
  <c r="F101" i="30" s="1"/>
  <c r="F103" i="30" s="1"/>
  <c r="BC72" i="60" l="1"/>
  <c r="BB69" i="60"/>
  <c r="BF71" i="60"/>
  <c r="BE74" i="60"/>
  <c r="BE75" i="60" s="1"/>
  <c r="BE73" i="60"/>
  <c r="BD70" i="60"/>
  <c r="D83" i="61"/>
  <c r="D85" i="61"/>
  <c r="D135" i="61" s="1"/>
  <c r="D97" i="61"/>
  <c r="E129" i="61"/>
  <c r="C130" i="61" s="1"/>
  <c r="E113" i="61"/>
  <c r="E117" i="61" s="1"/>
  <c r="E119" i="61"/>
  <c r="E118" i="61"/>
  <c r="E114" i="61"/>
  <c r="E115" i="61" s="1"/>
  <c r="E112" i="61"/>
  <c r="C112" i="61"/>
  <c r="C140" i="61" s="1"/>
  <c r="D112" i="61"/>
  <c r="BF77" i="60"/>
  <c r="BG1" i="60"/>
  <c r="BD72" i="60" l="1"/>
  <c r="BC69" i="60"/>
  <c r="BG71" i="60"/>
  <c r="BF73" i="60"/>
  <c r="BF74" i="60"/>
  <c r="BF75" i="60" s="1"/>
  <c r="BE70" i="60"/>
  <c r="D98" i="61"/>
  <c r="D101" i="61"/>
  <c r="D102" i="61" s="1"/>
  <c r="C146" i="61"/>
  <c r="C141" i="61"/>
  <c r="C143" i="61"/>
  <c r="E74" i="61"/>
  <c r="E120" i="61"/>
  <c r="E123" i="61"/>
  <c r="E128" i="61" s="1"/>
  <c r="D82" i="61"/>
  <c r="D140" i="61" s="1"/>
  <c r="D146" i="61" s="1"/>
  <c r="D127" i="61"/>
  <c r="BG77" i="60"/>
  <c r="BH1" i="60"/>
  <c r="L124" i="60"/>
  <c r="D143" i="61" l="1"/>
  <c r="BE72" i="60"/>
  <c r="BD69" i="60"/>
  <c r="BH71" i="60"/>
  <c r="BG73" i="60"/>
  <c r="BG74" i="60"/>
  <c r="BG75" i="60" s="1"/>
  <c r="BF70" i="60"/>
  <c r="E126" i="61"/>
  <c r="E122" i="61"/>
  <c r="E125" i="61"/>
  <c r="E132" i="61" s="1"/>
  <c r="D141" i="61"/>
  <c r="D142" i="61" s="1"/>
  <c r="E100" i="60"/>
  <c r="D73" i="61"/>
  <c r="E79" i="61"/>
  <c r="E89" i="61"/>
  <c r="E77" i="61"/>
  <c r="E76" i="61"/>
  <c r="E105" i="61"/>
  <c r="E106" i="61" s="1"/>
  <c r="C142" i="61"/>
  <c r="C144" i="61" s="1"/>
  <c r="C148" i="61"/>
  <c r="C149" i="61"/>
  <c r="C150" i="61" s="1"/>
  <c r="BH77" i="60"/>
  <c r="BF72" i="60" l="1"/>
  <c r="BE69" i="60"/>
  <c r="BH74" i="60"/>
  <c r="BH75" i="60" s="1"/>
  <c r="BH73" i="60"/>
  <c r="BH70" i="60"/>
  <c r="BG70" i="60"/>
  <c r="E109" i="61"/>
  <c r="E107" i="61"/>
  <c r="E92" i="61"/>
  <c r="E93" i="61"/>
  <c r="E158" i="61" s="1"/>
  <c r="E90" i="61"/>
  <c r="D88" i="61"/>
  <c r="E91" i="60"/>
  <c r="D75" i="61"/>
  <c r="D81" i="61"/>
  <c r="C72" i="61"/>
  <c r="C153" i="61"/>
  <c r="BG72" i="60" l="1"/>
  <c r="BF69" i="60"/>
  <c r="BG69" i="60"/>
  <c r="BH72" i="60"/>
  <c r="E94" i="60"/>
  <c r="D136" i="61"/>
  <c r="D108" i="61"/>
  <c r="E111" i="61"/>
  <c r="F110" i="61"/>
  <c r="C154" i="61"/>
  <c r="C157" i="61"/>
  <c r="D91" i="61"/>
  <c r="C87" i="61"/>
  <c r="D90" i="60"/>
  <c r="E95" i="61"/>
  <c r="E99" i="61"/>
  <c r="E100" i="61" s="1"/>
  <c r="E80" i="61"/>
  <c r="D138" i="61" l="1"/>
  <c r="D144" i="61"/>
  <c r="E85" i="61"/>
  <c r="E135" i="61" s="1"/>
  <c r="E83" i="61"/>
  <c r="E97" i="61"/>
  <c r="F112" i="61"/>
  <c r="F119" i="61"/>
  <c r="F129" i="61"/>
  <c r="D130" i="61" s="1"/>
  <c r="F118" i="61"/>
  <c r="F113" i="61"/>
  <c r="F117" i="61" s="1"/>
  <c r="F114" i="61"/>
  <c r="F115" i="61" s="1"/>
  <c r="E82" i="61" l="1"/>
  <c r="E140" i="61" s="1"/>
  <c r="E146" i="61" s="1"/>
  <c r="E127" i="61"/>
  <c r="F74" i="61"/>
  <c r="F123" i="61"/>
  <c r="F128" i="61" s="1"/>
  <c r="F120" i="61"/>
  <c r="E98" i="61"/>
  <c r="E101" i="61"/>
  <c r="E102" i="61" s="1"/>
  <c r="D149" i="61"/>
  <c r="D150" i="61" s="1"/>
  <c r="D148" i="61"/>
  <c r="M124" i="60"/>
  <c r="E73" i="61" l="1"/>
  <c r="F77" i="61"/>
  <c r="F76" i="61"/>
  <c r="F89" i="61"/>
  <c r="F79" i="61"/>
  <c r="F105" i="61"/>
  <c r="F106" i="61" s="1"/>
  <c r="E143" i="61"/>
  <c r="F125" i="61"/>
  <c r="F132" i="61" s="1"/>
  <c r="F126" i="61"/>
  <c r="F122" i="61"/>
  <c r="D153" i="61"/>
  <c r="E141" i="61"/>
  <c r="F100" i="60"/>
  <c r="F90" i="61" l="1"/>
  <c r="F93" i="61"/>
  <c r="F158" i="61" s="1"/>
  <c r="E88" i="61"/>
  <c r="F92" i="61"/>
  <c r="F109" i="61"/>
  <c r="F107" i="61"/>
  <c r="E142" i="61"/>
  <c r="F91" i="60"/>
  <c r="E93" i="60" s="1"/>
  <c r="D154" i="61"/>
  <c r="D157" i="61"/>
  <c r="E75" i="61"/>
  <c r="D72" i="61"/>
  <c r="E81" i="61"/>
  <c r="F94" i="60" l="1"/>
  <c r="E91" i="61"/>
  <c r="E136" i="61" s="1"/>
  <c r="E138" i="61" s="1"/>
  <c r="D87" i="61"/>
  <c r="F95" i="61"/>
  <c r="F99" i="61"/>
  <c r="F100" i="61" s="1"/>
  <c r="F80" i="61"/>
  <c r="E90" i="60"/>
  <c r="E108" i="61"/>
  <c r="F111" i="61"/>
  <c r="G110" i="61"/>
  <c r="E144" i="61" l="1"/>
  <c r="F85" i="61"/>
  <c r="F135" i="61" s="1"/>
  <c r="F83" i="61"/>
  <c r="F97" i="61"/>
  <c r="G119" i="61"/>
  <c r="G112" i="61"/>
  <c r="G129" i="61"/>
  <c r="E130" i="61" s="1"/>
  <c r="G114" i="61"/>
  <c r="G115" i="61" s="1"/>
  <c r="G113" i="61"/>
  <c r="G117" i="61" s="1"/>
  <c r="G118" i="61"/>
  <c r="E149" i="61"/>
  <c r="E150" i="61" s="1"/>
  <c r="E148" i="61"/>
  <c r="E153" i="61" l="1"/>
  <c r="E154" i="61" s="1"/>
  <c r="F98" i="61"/>
  <c r="F101" i="61"/>
  <c r="F102" i="61" s="1"/>
  <c r="F82" i="61"/>
  <c r="F140" i="61" s="1"/>
  <c r="F146" i="61" s="1"/>
  <c r="F127" i="61"/>
  <c r="G120" i="61"/>
  <c r="G74" i="61"/>
  <c r="G123" i="61"/>
  <c r="G128" i="61" s="1"/>
  <c r="N124" i="60"/>
  <c r="E157" i="61" l="1"/>
  <c r="F141" i="61"/>
  <c r="F142" i="61" s="1"/>
  <c r="G100" i="60"/>
  <c r="G76" i="61"/>
  <c r="G77" i="61"/>
  <c r="G79" i="61"/>
  <c r="F73" i="61"/>
  <c r="G89" i="61"/>
  <c r="G105" i="61"/>
  <c r="G106" i="61" s="1"/>
  <c r="G125" i="61"/>
  <c r="G132" i="61" s="1"/>
  <c r="G126" i="61"/>
  <c r="G122" i="61"/>
  <c r="F143" i="61"/>
  <c r="F75" i="61" l="1"/>
  <c r="F81" i="61"/>
  <c r="E72" i="61"/>
  <c r="G92" i="61"/>
  <c r="G90" i="61"/>
  <c r="F88" i="61"/>
  <c r="G93" i="61"/>
  <c r="G158" i="61" s="1"/>
  <c r="G109" i="61"/>
  <c r="G107" i="61"/>
  <c r="G91" i="60"/>
  <c r="F93" i="60" s="1"/>
  <c r="G94" i="60" l="1"/>
  <c r="F90" i="60"/>
  <c r="G95" i="61"/>
  <c r="G99" i="61"/>
  <c r="G100" i="61" s="1"/>
  <c r="G80" i="61"/>
  <c r="G111" i="61"/>
  <c r="F108" i="61"/>
  <c r="H110" i="61"/>
  <c r="E87" i="61"/>
  <c r="F91" i="61"/>
  <c r="F136" i="61" s="1"/>
  <c r="F138" i="61" l="1"/>
  <c r="F144" i="61"/>
  <c r="H113" i="61"/>
  <c r="H117" i="61" s="1"/>
  <c r="H119" i="61"/>
  <c r="H112" i="61"/>
  <c r="H118" i="61"/>
  <c r="H129" i="61"/>
  <c r="F130" i="61" s="1"/>
  <c r="H114" i="61"/>
  <c r="H115" i="61" s="1"/>
  <c r="G83" i="61"/>
  <c r="G85" i="61"/>
  <c r="G135" i="61" s="1"/>
  <c r="G97" i="61"/>
  <c r="O124" i="60"/>
  <c r="G82" i="61" l="1"/>
  <c r="G140" i="61" s="1"/>
  <c r="G146" i="61" s="1"/>
  <c r="G127" i="61"/>
  <c r="H74" i="61"/>
  <c r="H120" i="61"/>
  <c r="H123" i="61"/>
  <c r="H128" i="61" s="1"/>
  <c r="G101" i="61"/>
  <c r="G102" i="61" s="1"/>
  <c r="G98" i="61"/>
  <c r="F149" i="61"/>
  <c r="F150" i="61" s="1"/>
  <c r="F148" i="61"/>
  <c r="F153" i="61" l="1"/>
  <c r="G143" i="61"/>
  <c r="H100" i="60"/>
  <c r="H77" i="61"/>
  <c r="G73" i="61"/>
  <c r="H76" i="61"/>
  <c r="H89" i="61"/>
  <c r="H105" i="61"/>
  <c r="H106" i="61" s="1"/>
  <c r="H122" i="61"/>
  <c r="H126" i="61"/>
  <c r="H125" i="61"/>
  <c r="H132" i="61" s="1"/>
  <c r="G141" i="61"/>
  <c r="G88" i="61" l="1"/>
  <c r="H93" i="61"/>
  <c r="H158" i="61" s="1"/>
  <c r="H90" i="61"/>
  <c r="H92" i="61"/>
  <c r="H109" i="61"/>
  <c r="H107" i="61"/>
  <c r="G142" i="61"/>
  <c r="H91" i="60"/>
  <c r="F72" i="61"/>
  <c r="G75" i="61"/>
  <c r="F154" i="61"/>
  <c r="F157" i="61"/>
  <c r="H94" i="60" l="1"/>
  <c r="G93" i="60"/>
  <c r="G90" i="60"/>
  <c r="H95" i="61"/>
  <c r="H99" i="61"/>
  <c r="H100" i="61" s="1"/>
  <c r="H80" i="61"/>
  <c r="H79" i="61" s="1"/>
  <c r="G108" i="61"/>
  <c r="H111" i="61"/>
  <c r="I110" i="61"/>
  <c r="F87" i="61"/>
  <c r="G91" i="61"/>
  <c r="H85" i="61" l="1"/>
  <c r="H135" i="61" s="1"/>
  <c r="H83" i="61"/>
  <c r="H97" i="61"/>
  <c r="I112" i="61"/>
  <c r="I129" i="61"/>
  <c r="G130" i="61" s="1"/>
  <c r="I113" i="61"/>
  <c r="I117" i="61" s="1"/>
  <c r="I114" i="61"/>
  <c r="I115" i="61" s="1"/>
  <c r="I119" i="61"/>
  <c r="I118" i="61"/>
  <c r="I74" i="61" l="1"/>
  <c r="I120" i="61"/>
  <c r="I123" i="61"/>
  <c r="I128" i="61" s="1"/>
  <c r="H101" i="61"/>
  <c r="H102" i="61" s="1"/>
  <c r="H98" i="61"/>
  <c r="H82" i="61"/>
  <c r="H140" i="61" s="1"/>
  <c r="H146" i="61" s="1"/>
  <c r="H127" i="61"/>
  <c r="G81" i="61"/>
  <c r="G136" i="61" s="1"/>
  <c r="P124" i="60"/>
  <c r="H141" i="61" l="1"/>
  <c r="I100" i="60"/>
  <c r="H142" i="61"/>
  <c r="I122" i="61"/>
  <c r="I126" i="61"/>
  <c r="I125" i="61"/>
  <c r="I132" i="61" s="1"/>
  <c r="G138" i="61"/>
  <c r="G144" i="61"/>
  <c r="H143" i="61"/>
  <c r="H73" i="61"/>
  <c r="I77" i="61"/>
  <c r="I89" i="61"/>
  <c r="I76" i="61"/>
  <c r="I105" i="61"/>
  <c r="I106" i="61" s="1"/>
  <c r="H88" i="61" l="1"/>
  <c r="I92" i="61"/>
  <c r="I90" i="61"/>
  <c r="I93" i="61"/>
  <c r="I158" i="61" s="1"/>
  <c r="H75" i="61"/>
  <c r="G72" i="61"/>
  <c r="I109" i="61"/>
  <c r="I107" i="61"/>
  <c r="I91" i="60"/>
  <c r="G149" i="61"/>
  <c r="G150" i="61" s="1"/>
  <c r="G148" i="61"/>
  <c r="I94" i="60" l="1"/>
  <c r="H93" i="60"/>
  <c r="I95" i="61"/>
  <c r="I99" i="61"/>
  <c r="I100" i="61" s="1"/>
  <c r="I80" i="61"/>
  <c r="I79" i="61" s="1"/>
  <c r="G153" i="61"/>
  <c r="G154" i="61" s="1"/>
  <c r="H90" i="60"/>
  <c r="H108" i="61"/>
  <c r="I111" i="61"/>
  <c r="J110" i="61"/>
  <c r="H91" i="61"/>
  <c r="G87" i="61"/>
  <c r="G157" i="61" l="1"/>
  <c r="J129" i="61"/>
  <c r="H130" i="61" s="1"/>
  <c r="J119" i="61"/>
  <c r="J118" i="61"/>
  <c r="J113" i="61"/>
  <c r="J117" i="61" s="1"/>
  <c r="J114" i="61"/>
  <c r="J115" i="61" s="1"/>
  <c r="J112" i="61"/>
  <c r="I85" i="61"/>
  <c r="I135" i="61" s="1"/>
  <c r="I83" i="61"/>
  <c r="I97" i="61"/>
  <c r="J74" i="61" l="1"/>
  <c r="J120" i="61"/>
  <c r="J123" i="61"/>
  <c r="J128" i="61" s="1"/>
  <c r="I98" i="61"/>
  <c r="I101" i="61"/>
  <c r="I102" i="61" s="1"/>
  <c r="I82" i="61"/>
  <c r="I140" i="61" s="1"/>
  <c r="I146" i="61" s="1"/>
  <c r="I127" i="61"/>
  <c r="H81" i="61"/>
  <c r="H136" i="61" s="1"/>
  <c r="Q124" i="60"/>
  <c r="I143" i="61" l="1"/>
  <c r="J76" i="61"/>
  <c r="J77" i="61"/>
  <c r="I73" i="61"/>
  <c r="J89" i="61"/>
  <c r="J105" i="61"/>
  <c r="J106" i="61" s="1"/>
  <c r="J100" i="60"/>
  <c r="I141" i="61"/>
  <c r="I142" i="61" s="1"/>
  <c r="J122" i="61"/>
  <c r="J125" i="61"/>
  <c r="J132" i="61" s="1"/>
  <c r="J126" i="61"/>
  <c r="H138" i="61"/>
  <c r="H144" i="61"/>
  <c r="H149" i="61" l="1"/>
  <c r="H150" i="61" s="1"/>
  <c r="H148" i="61"/>
  <c r="J90" i="61"/>
  <c r="J93" i="61"/>
  <c r="J158" i="61" s="1"/>
  <c r="J92" i="61"/>
  <c r="I88" i="61"/>
  <c r="J91" i="60"/>
  <c r="J109" i="61"/>
  <c r="J107" i="61"/>
  <c r="I75" i="61"/>
  <c r="H72" i="61"/>
  <c r="J94" i="60" l="1"/>
  <c r="I93" i="60"/>
  <c r="I108" i="61"/>
  <c r="J111" i="61"/>
  <c r="K110" i="61"/>
  <c r="I90" i="60"/>
  <c r="J95" i="61"/>
  <c r="J99" i="61"/>
  <c r="J100" i="61" s="1"/>
  <c r="J80" i="61"/>
  <c r="I91" i="61"/>
  <c r="H87" i="61"/>
  <c r="H153" i="61"/>
  <c r="H154" i="61" s="1"/>
  <c r="K113" i="61" l="1"/>
  <c r="K117" i="61" s="1"/>
  <c r="K119" i="61"/>
  <c r="K114" i="61"/>
  <c r="K115" i="61" s="1"/>
  <c r="K129" i="61"/>
  <c r="I130" i="61" s="1"/>
  <c r="K118" i="61"/>
  <c r="K112" i="61"/>
  <c r="J83" i="61"/>
  <c r="J85" i="61"/>
  <c r="J135" i="61" s="1"/>
  <c r="J97" i="61"/>
  <c r="J79" i="61"/>
  <c r="H157" i="61"/>
  <c r="J98" i="61" l="1"/>
  <c r="J101" i="61"/>
  <c r="J102" i="61" s="1"/>
  <c r="K120" i="61"/>
  <c r="K74" i="61"/>
  <c r="K123" i="61"/>
  <c r="K128" i="61" s="1"/>
  <c r="J82" i="61"/>
  <c r="J140" i="61" s="1"/>
  <c r="J146" i="61" s="1"/>
  <c r="J127" i="61"/>
  <c r="I81" i="61"/>
  <c r="I136" i="61" s="1"/>
  <c r="R124" i="60"/>
  <c r="J143" i="61" l="1"/>
  <c r="J141" i="61"/>
  <c r="J142" i="61" s="1"/>
  <c r="I138" i="61"/>
  <c r="I144" i="61"/>
  <c r="K125" i="61"/>
  <c r="K132" i="61" s="1"/>
  <c r="K122" i="61"/>
  <c r="K126" i="61"/>
  <c r="J73" i="61"/>
  <c r="K77" i="61"/>
  <c r="K76" i="61"/>
  <c r="K89" i="61"/>
  <c r="K105" i="61"/>
  <c r="K106" i="61" s="1"/>
  <c r="K100" i="60"/>
  <c r="K109" i="61" l="1"/>
  <c r="K107" i="61"/>
  <c r="J75" i="61"/>
  <c r="I72" i="61"/>
  <c r="I149" i="61"/>
  <c r="I150" i="61" s="1"/>
  <c r="I148" i="61"/>
  <c r="K90" i="61"/>
  <c r="K92" i="61"/>
  <c r="J88" i="61"/>
  <c r="K93" i="61"/>
  <c r="K158" i="61" s="1"/>
  <c r="K91" i="60"/>
  <c r="K94" i="60" l="1"/>
  <c r="J93" i="60"/>
  <c r="I153" i="61"/>
  <c r="I154" i="61" s="1"/>
  <c r="J90" i="60"/>
  <c r="K95" i="61"/>
  <c r="K99" i="61"/>
  <c r="K100" i="61" s="1"/>
  <c r="K80" i="61"/>
  <c r="I87" i="61"/>
  <c r="J91" i="61"/>
  <c r="K111" i="61"/>
  <c r="J108" i="61"/>
  <c r="L110" i="61"/>
  <c r="I157" i="61" l="1"/>
  <c r="K85" i="61"/>
  <c r="K135" i="61" s="1"/>
  <c r="K83" i="61"/>
  <c r="K97" i="61"/>
  <c r="L119" i="61"/>
  <c r="L113" i="61"/>
  <c r="L117" i="61" s="1"/>
  <c r="L118" i="61"/>
  <c r="L114" i="61"/>
  <c r="L115" i="61" s="1"/>
  <c r="L112" i="61"/>
  <c r="L129" i="61"/>
  <c r="J130" i="61" s="1"/>
  <c r="K79" i="61"/>
  <c r="L120" i="61" l="1"/>
  <c r="L123" i="61"/>
  <c r="L128" i="61" s="1"/>
  <c r="L74" i="61"/>
  <c r="K82" i="61"/>
  <c r="K140" i="61" s="1"/>
  <c r="K146" i="61" s="1"/>
  <c r="K127" i="61"/>
  <c r="J81" i="61"/>
  <c r="J136" i="61" s="1"/>
  <c r="K101" i="61"/>
  <c r="K102" i="61" s="1"/>
  <c r="K98" i="61"/>
  <c r="S124" i="60"/>
  <c r="L125" i="61" l="1"/>
  <c r="L132" i="61" s="1"/>
  <c r="L126" i="61"/>
  <c r="L122" i="61"/>
  <c r="K143" i="61"/>
  <c r="J138" i="61"/>
  <c r="J144" i="61"/>
  <c r="K73" i="61"/>
  <c r="L77" i="61"/>
  <c r="L89" i="61"/>
  <c r="L76" i="61"/>
  <c r="L105" i="61"/>
  <c r="L106" i="61" s="1"/>
  <c r="L100" i="60"/>
  <c r="K141" i="61"/>
  <c r="K142" i="61" s="1"/>
  <c r="K75" i="61" l="1"/>
  <c r="J72" i="61"/>
  <c r="L91" i="60"/>
  <c r="L90" i="61"/>
  <c r="L93" i="61"/>
  <c r="L158" i="61" s="1"/>
  <c r="L92" i="61"/>
  <c r="K88" i="61"/>
  <c r="J149" i="61"/>
  <c r="J150" i="61" s="1"/>
  <c r="J148" i="61"/>
  <c r="L109" i="61"/>
  <c r="L107" i="61"/>
  <c r="L94" i="60" l="1"/>
  <c r="K93" i="60"/>
  <c r="K91" i="61"/>
  <c r="J87" i="61"/>
  <c r="L95" i="61"/>
  <c r="L99" i="61"/>
  <c r="L100" i="61" s="1"/>
  <c r="L80" i="61"/>
  <c r="K108" i="61"/>
  <c r="L111" i="61"/>
  <c r="M110" i="61"/>
  <c r="J153" i="61"/>
  <c r="J154" i="61" s="1"/>
  <c r="K90" i="60"/>
  <c r="M112" i="61" l="1"/>
  <c r="M114" i="61"/>
  <c r="M115" i="61" s="1"/>
  <c r="M129" i="61"/>
  <c r="K130" i="61" s="1"/>
  <c r="M113" i="61"/>
  <c r="M117" i="61" s="1"/>
  <c r="M119" i="61"/>
  <c r="M118" i="61"/>
  <c r="L79" i="61"/>
  <c r="L83" i="61"/>
  <c r="L85" i="61"/>
  <c r="L135" i="61" s="1"/>
  <c r="L97" i="61"/>
  <c r="J157" i="61"/>
  <c r="L82" i="61" l="1"/>
  <c r="L140" i="61" s="1"/>
  <c r="L146" i="61" s="1"/>
  <c r="L127" i="61"/>
  <c r="K81" i="61"/>
  <c r="K136" i="61" s="1"/>
  <c r="M120" i="61"/>
  <c r="M74" i="61"/>
  <c r="M123" i="61"/>
  <c r="M128" i="61" s="1"/>
  <c r="L98" i="61"/>
  <c r="L101" i="61"/>
  <c r="L102" i="61" s="1"/>
  <c r="L141" i="61"/>
  <c r="L142" i="61" s="1"/>
  <c r="T124" i="60"/>
  <c r="L143" i="61" l="1"/>
  <c r="M100" i="60"/>
  <c r="K138" i="61"/>
  <c r="K144" i="61"/>
  <c r="M125" i="61"/>
  <c r="M132" i="61" s="1"/>
  <c r="M122" i="61"/>
  <c r="M126" i="61"/>
  <c r="M77" i="61"/>
  <c r="L73" i="61"/>
  <c r="M89" i="61"/>
  <c r="M76" i="61"/>
  <c r="M105" i="61"/>
  <c r="M106" i="61" s="1"/>
  <c r="M109" i="61" l="1"/>
  <c r="M107" i="61"/>
  <c r="L75" i="61"/>
  <c r="K72" i="61"/>
  <c r="M91" i="60"/>
  <c r="K149" i="61"/>
  <c r="K150" i="61" s="1"/>
  <c r="K148" i="61"/>
  <c r="M92" i="61"/>
  <c r="L88" i="61"/>
  <c r="M93" i="61"/>
  <c r="M158" i="61" s="1"/>
  <c r="M90" i="61"/>
  <c r="M94" i="60" l="1"/>
  <c r="L93" i="60"/>
  <c r="K153" i="61"/>
  <c r="K154" i="61" s="1"/>
  <c r="M95" i="61"/>
  <c r="M99" i="61"/>
  <c r="M100" i="61" s="1"/>
  <c r="M80" i="61"/>
  <c r="L91" i="61"/>
  <c r="K87" i="61"/>
  <c r="L90" i="60"/>
  <c r="L108" i="61"/>
  <c r="M111" i="61"/>
  <c r="N110" i="61"/>
  <c r="N113" i="61" l="1"/>
  <c r="N117" i="61" s="1"/>
  <c r="N119" i="61"/>
  <c r="N129" i="61"/>
  <c r="L130" i="61" s="1"/>
  <c r="N114" i="61"/>
  <c r="N115" i="61" s="1"/>
  <c r="N118" i="61"/>
  <c r="N112" i="61"/>
  <c r="M79" i="61"/>
  <c r="M97" i="61"/>
  <c r="M83" i="61"/>
  <c r="M85" i="61"/>
  <c r="M135" i="61" s="1"/>
  <c r="K157" i="61"/>
  <c r="M82" i="61" l="1"/>
  <c r="M140" i="61" s="1"/>
  <c r="M146" i="61" s="1"/>
  <c r="M127" i="61"/>
  <c r="L81" i="61"/>
  <c r="L136" i="61" s="1"/>
  <c r="M98" i="61"/>
  <c r="M101" i="61"/>
  <c r="M102" i="61" s="1"/>
  <c r="N120" i="61"/>
  <c r="N74" i="61"/>
  <c r="N123" i="61"/>
  <c r="N128" i="61" s="1"/>
  <c r="U124" i="60"/>
  <c r="M143" i="61" l="1"/>
  <c r="M141" i="61"/>
  <c r="M142" i="61" s="1"/>
  <c r="N126" i="61"/>
  <c r="N125" i="61"/>
  <c r="N132" i="61" s="1"/>
  <c r="N122" i="61"/>
  <c r="L138" i="61"/>
  <c r="L144" i="61"/>
  <c r="N100" i="60"/>
  <c r="N89" i="61"/>
  <c r="M73" i="61"/>
  <c r="N77" i="61"/>
  <c r="N76" i="61"/>
  <c r="N105" i="61"/>
  <c r="N106" i="61" s="1"/>
  <c r="N109" i="61" l="1"/>
  <c r="N107" i="61"/>
  <c r="L72" i="61"/>
  <c r="M75" i="61"/>
  <c r="M88" i="61"/>
  <c r="N93" i="61"/>
  <c r="N158" i="61" s="1"/>
  <c r="N90" i="61"/>
  <c r="N92" i="61"/>
  <c r="L149" i="61"/>
  <c r="L150" i="61" s="1"/>
  <c r="L148" i="61"/>
  <c r="N91" i="60"/>
  <c r="N94" i="60" l="1"/>
  <c r="M93" i="60"/>
  <c r="L153" i="61"/>
  <c r="L154" i="61" s="1"/>
  <c r="M90" i="60"/>
  <c r="N99" i="61"/>
  <c r="N100" i="61" s="1"/>
  <c r="N95" i="61"/>
  <c r="N80" i="61"/>
  <c r="N79" i="61" s="1"/>
  <c r="L87" i="61"/>
  <c r="M91" i="61"/>
  <c r="M108" i="61"/>
  <c r="N111" i="61"/>
  <c r="O110" i="61"/>
  <c r="L157" i="61" l="1"/>
  <c r="O119" i="61"/>
  <c r="O113" i="61"/>
  <c r="O117" i="61" s="1"/>
  <c r="O129" i="61"/>
  <c r="M130" i="61" s="1"/>
  <c r="O114" i="61"/>
  <c r="O115" i="61" s="1"/>
  <c r="O112" i="61"/>
  <c r="O118" i="61"/>
  <c r="N97" i="61"/>
  <c r="N85" i="61"/>
  <c r="N135" i="61" s="1"/>
  <c r="N83" i="61"/>
  <c r="N82" i="61" l="1"/>
  <c r="N140" i="61" s="1"/>
  <c r="N146" i="61" s="1"/>
  <c r="N127" i="61"/>
  <c r="M81" i="61"/>
  <c r="M136" i="61" s="1"/>
  <c r="N98" i="61"/>
  <c r="N101" i="61"/>
  <c r="N102" i="61" s="1"/>
  <c r="O123" i="61"/>
  <c r="O128" i="61" s="1"/>
  <c r="O120" i="61"/>
  <c r="O74" i="61"/>
  <c r="V124" i="60"/>
  <c r="N141" i="61" l="1"/>
  <c r="N142" i="61" s="1"/>
  <c r="O77" i="61"/>
  <c r="O105" i="61"/>
  <c r="O106" i="61" s="1"/>
  <c r="O89" i="61"/>
  <c r="N73" i="61"/>
  <c r="O76" i="61"/>
  <c r="O100" i="60"/>
  <c r="O126" i="61"/>
  <c r="O122" i="61"/>
  <c r="O125" i="61"/>
  <c r="O132" i="61" s="1"/>
  <c r="M138" i="61"/>
  <c r="M144" i="61"/>
  <c r="N143" i="61"/>
  <c r="O91" i="60" l="1"/>
  <c r="O109" i="61"/>
  <c r="O107" i="61"/>
  <c r="N75" i="61"/>
  <c r="M72" i="61"/>
  <c r="M149" i="61"/>
  <c r="M150" i="61" s="1"/>
  <c r="M148" i="61"/>
  <c r="N88" i="61"/>
  <c r="O92" i="61"/>
  <c r="O93" i="61"/>
  <c r="O158" i="61" s="1"/>
  <c r="O90" i="61"/>
  <c r="O94" i="60" l="1"/>
  <c r="N93" i="60"/>
  <c r="M87" i="61"/>
  <c r="N91" i="61"/>
  <c r="O95" i="61"/>
  <c r="O99" i="61"/>
  <c r="O100" i="61" s="1"/>
  <c r="O80" i="61"/>
  <c r="O79" i="61" s="1"/>
  <c r="N90" i="60"/>
  <c r="M153" i="61"/>
  <c r="M154" i="61" s="1"/>
  <c r="O111" i="61"/>
  <c r="N108" i="61"/>
  <c r="P110" i="61"/>
  <c r="O85" i="61" l="1"/>
  <c r="O135" i="61" s="1"/>
  <c r="O83" i="61"/>
  <c r="O97" i="61"/>
  <c r="P112" i="61"/>
  <c r="P129" i="61"/>
  <c r="N130" i="61" s="1"/>
  <c r="P113" i="61"/>
  <c r="P117" i="61" s="1"/>
  <c r="P114" i="61"/>
  <c r="P115" i="61" s="1"/>
  <c r="P119" i="61"/>
  <c r="P118" i="61"/>
  <c r="M157" i="61"/>
  <c r="O98" i="61" l="1"/>
  <c r="O101" i="61"/>
  <c r="O102" i="61" s="1"/>
  <c r="O82" i="61"/>
  <c r="O140" i="61" s="1"/>
  <c r="O146" i="61" s="1"/>
  <c r="O127" i="61"/>
  <c r="N81" i="61"/>
  <c r="N136" i="61" s="1"/>
  <c r="P123" i="61"/>
  <c r="P128" i="61" s="1"/>
  <c r="P74" i="61"/>
  <c r="P120" i="61"/>
  <c r="W124" i="60"/>
  <c r="P76" i="61" l="1"/>
  <c r="P105" i="61"/>
  <c r="P106" i="61" s="1"/>
  <c r="O73" i="61"/>
  <c r="P89" i="61"/>
  <c r="P77" i="61"/>
  <c r="O143" i="61"/>
  <c r="N138" i="61"/>
  <c r="N144" i="61"/>
  <c r="P126" i="61"/>
  <c r="P125" i="61"/>
  <c r="P132" i="61" s="1"/>
  <c r="P122" i="61"/>
  <c r="O141" i="61"/>
  <c r="O142" i="61" s="1"/>
  <c r="P100" i="60"/>
  <c r="P109" i="61" l="1"/>
  <c r="P107" i="61"/>
  <c r="P91" i="60"/>
  <c r="P93" i="61"/>
  <c r="P158" i="61" s="1"/>
  <c r="P90" i="61"/>
  <c r="O88" i="61"/>
  <c r="P92" i="61"/>
  <c r="N149" i="61"/>
  <c r="N150" i="61" s="1"/>
  <c r="N148" i="61"/>
  <c r="O75" i="61"/>
  <c r="N72" i="61"/>
  <c r="P94" i="60" l="1"/>
  <c r="O93" i="60"/>
  <c r="O90" i="60"/>
  <c r="N153" i="61"/>
  <c r="O91" i="61"/>
  <c r="N87" i="61"/>
  <c r="O108" i="61"/>
  <c r="P111" i="61"/>
  <c r="Q110" i="61"/>
  <c r="P95" i="61"/>
  <c r="P99" i="61"/>
  <c r="P100" i="61" s="1"/>
  <c r="P80" i="61"/>
  <c r="Q129" i="61" l="1"/>
  <c r="O130" i="61" s="1"/>
  <c r="Q118" i="61"/>
  <c r="Q119" i="61"/>
  <c r="Q113" i="61"/>
  <c r="Q117" i="61" s="1"/>
  <c r="Q114" i="61"/>
  <c r="Q115" i="61" s="1"/>
  <c r="Q112" i="61"/>
  <c r="P97" i="61"/>
  <c r="P83" i="61"/>
  <c r="P85" i="61"/>
  <c r="P135" i="61" s="1"/>
  <c r="P79" i="61"/>
  <c r="N154" i="61"/>
  <c r="N157" i="61"/>
  <c r="P82" i="61" l="1"/>
  <c r="P140" i="61" s="1"/>
  <c r="P146" i="61" s="1"/>
  <c r="P127" i="61"/>
  <c r="O81" i="61"/>
  <c r="O136" i="61" s="1"/>
  <c r="Q74" i="61"/>
  <c r="Q120" i="61"/>
  <c r="Q123" i="61"/>
  <c r="Q128" i="61" s="1"/>
  <c r="P98" i="61"/>
  <c r="P101" i="61"/>
  <c r="P102" i="61" s="1"/>
  <c r="X124" i="60"/>
  <c r="P73" i="61" l="1"/>
  <c r="Q89" i="61"/>
  <c r="Q105" i="61"/>
  <c r="Q106" i="61" s="1"/>
  <c r="Q76" i="61"/>
  <c r="Q77" i="61"/>
  <c r="Q100" i="60"/>
  <c r="O138" i="61"/>
  <c r="O144" i="61"/>
  <c r="P143" i="61"/>
  <c r="Q122" i="61"/>
  <c r="Q126" i="61"/>
  <c r="Q125" i="61"/>
  <c r="Q132" i="61" s="1"/>
  <c r="P141" i="61"/>
  <c r="P142" i="61" s="1"/>
  <c r="Q91" i="60" l="1"/>
  <c r="Q90" i="61"/>
  <c r="Q93" i="61"/>
  <c r="Q158" i="61" s="1"/>
  <c r="Q92" i="61"/>
  <c r="P88" i="61"/>
  <c r="O149" i="61"/>
  <c r="O150" i="61" s="1"/>
  <c r="O148" i="61"/>
  <c r="O72" i="61"/>
  <c r="P75" i="61"/>
  <c r="Q109" i="61"/>
  <c r="Q107" i="61"/>
  <c r="Q94" i="60" l="1"/>
  <c r="P93" i="60"/>
  <c r="P91" i="61"/>
  <c r="O87" i="61"/>
  <c r="Q111" i="61"/>
  <c r="P108" i="61"/>
  <c r="R110" i="61"/>
  <c r="Q95" i="61"/>
  <c r="Q99" i="61"/>
  <c r="Q100" i="61" s="1"/>
  <c r="Q80" i="61"/>
  <c r="O153" i="61"/>
  <c r="P90" i="60"/>
  <c r="O154" i="61" l="1"/>
  <c r="O157" i="61"/>
  <c r="Q79" i="61"/>
  <c r="Q97" i="61"/>
  <c r="Q83" i="61"/>
  <c r="Q85" i="61"/>
  <c r="Q135" i="61" s="1"/>
  <c r="R129" i="61"/>
  <c r="P130" i="61" s="1"/>
  <c r="R113" i="61"/>
  <c r="R117" i="61" s="1"/>
  <c r="R112" i="61"/>
  <c r="R119" i="61"/>
  <c r="R114" i="61"/>
  <c r="R115" i="61" s="1"/>
  <c r="R118" i="61"/>
  <c r="Q101" i="61" l="1"/>
  <c r="Q102" i="61" s="1"/>
  <c r="Q98" i="61"/>
  <c r="R120" i="61"/>
  <c r="R123" i="61"/>
  <c r="R128" i="61" s="1"/>
  <c r="R74" i="61"/>
  <c r="Q82" i="61"/>
  <c r="Q140" i="61" s="1"/>
  <c r="Q146" i="61" s="1"/>
  <c r="Q127" i="61"/>
  <c r="P81" i="61"/>
  <c r="P136" i="61" s="1"/>
  <c r="Y124" i="60"/>
  <c r="Q141" i="61" l="1"/>
  <c r="Q142" i="61" s="1"/>
  <c r="R126" i="61"/>
  <c r="R122" i="61"/>
  <c r="R125" i="61"/>
  <c r="R132" i="61" s="1"/>
  <c r="Q143" i="61"/>
  <c r="Q73" i="61"/>
  <c r="R105" i="61"/>
  <c r="R106" i="61" s="1"/>
  <c r="R76" i="61"/>
  <c r="R89" i="61"/>
  <c r="R77" i="61"/>
  <c r="P138" i="61"/>
  <c r="P144" i="61"/>
  <c r="R100" i="60"/>
  <c r="R109" i="61" l="1"/>
  <c r="R107" i="61"/>
  <c r="Q75" i="61"/>
  <c r="P72" i="61"/>
  <c r="P149" i="61"/>
  <c r="P150" i="61" s="1"/>
  <c r="P148" i="61"/>
  <c r="R91" i="60"/>
  <c r="R93" i="61"/>
  <c r="R158" i="61" s="1"/>
  <c r="R90" i="61"/>
  <c r="R92" i="61"/>
  <c r="Q88" i="61"/>
  <c r="R94" i="60" l="1"/>
  <c r="Q93" i="60"/>
  <c r="Q90" i="60"/>
  <c r="P153" i="61"/>
  <c r="P154" i="61" s="1"/>
  <c r="R99" i="61"/>
  <c r="R100" i="61" s="1"/>
  <c r="R95" i="61"/>
  <c r="R80" i="61"/>
  <c r="Q91" i="61"/>
  <c r="P87" i="61"/>
  <c r="Q108" i="61"/>
  <c r="R111" i="61"/>
  <c r="S110" i="61"/>
  <c r="P157" i="61" l="1"/>
  <c r="R79" i="61"/>
  <c r="R85" i="61"/>
  <c r="R135" i="61" s="1"/>
  <c r="R83" i="61"/>
  <c r="R97" i="61"/>
  <c r="S113" i="61"/>
  <c r="S117" i="61" s="1"/>
  <c r="S119" i="61"/>
  <c r="S112" i="61"/>
  <c r="S129" i="61"/>
  <c r="Q130" i="61" s="1"/>
  <c r="S118" i="61"/>
  <c r="S114" i="61"/>
  <c r="S115" i="61" s="1"/>
  <c r="S123" i="61" l="1"/>
  <c r="S128" i="61" s="1"/>
  <c r="S74" i="61"/>
  <c r="S120" i="61"/>
  <c r="R98" i="61"/>
  <c r="R101" i="61"/>
  <c r="R102" i="61" s="1"/>
  <c r="R127" i="61"/>
  <c r="R82" i="61"/>
  <c r="R140" i="61" s="1"/>
  <c r="R146" i="61" s="1"/>
  <c r="Q81" i="61"/>
  <c r="Q136" i="61" s="1"/>
  <c r="Z124" i="60"/>
  <c r="S100" i="60" l="1"/>
  <c r="S122" i="61"/>
  <c r="S125" i="61"/>
  <c r="S132" i="61" s="1"/>
  <c r="S126" i="61"/>
  <c r="R141" i="61"/>
  <c r="R142" i="61" s="1"/>
  <c r="S76" i="61"/>
  <c r="R73" i="61"/>
  <c r="S89" i="61"/>
  <c r="S105" i="61"/>
  <c r="S106" i="61" s="1"/>
  <c r="S77" i="61"/>
  <c r="Q138" i="61"/>
  <c r="Q144" i="61"/>
  <c r="R143" i="61"/>
  <c r="R88" i="61" l="1"/>
  <c r="S92" i="61"/>
  <c r="S90" i="61"/>
  <c r="S93" i="61"/>
  <c r="S158" i="61" s="1"/>
  <c r="Q72" i="61"/>
  <c r="R75" i="61"/>
  <c r="Q149" i="61"/>
  <c r="Q150" i="61" s="1"/>
  <c r="Q153" i="61" s="1"/>
  <c r="Q154" i="61" s="1"/>
  <c r="Q148" i="61"/>
  <c r="S109" i="61"/>
  <c r="S107" i="61"/>
  <c r="S91" i="60"/>
  <c r="S94" i="60" l="1"/>
  <c r="R93" i="60"/>
  <c r="R108" i="61"/>
  <c r="S111" i="61"/>
  <c r="T110" i="61"/>
  <c r="R90" i="60"/>
  <c r="S95" i="61"/>
  <c r="S99" i="61"/>
  <c r="S100" i="61" s="1"/>
  <c r="S80" i="61"/>
  <c r="Q157" i="61"/>
  <c r="R91" i="61"/>
  <c r="Q87" i="61"/>
  <c r="S79" i="61" l="1"/>
  <c r="S97" i="61"/>
  <c r="S83" i="61"/>
  <c r="S85" i="61"/>
  <c r="S135" i="61" s="1"/>
  <c r="T114" i="61"/>
  <c r="T115" i="61" s="1"/>
  <c r="T129" i="61"/>
  <c r="R130" i="61" s="1"/>
  <c r="T119" i="61"/>
  <c r="T113" i="61"/>
  <c r="T117" i="61" s="1"/>
  <c r="T118" i="61"/>
  <c r="T112" i="61"/>
  <c r="S98" i="61" l="1"/>
  <c r="S101" i="61"/>
  <c r="S102" i="61" s="1"/>
  <c r="T74" i="61"/>
  <c r="T120" i="61"/>
  <c r="T123" i="61"/>
  <c r="T128" i="61" s="1"/>
  <c r="S82" i="61"/>
  <c r="S140" i="61" s="1"/>
  <c r="S146" i="61" s="1"/>
  <c r="S127" i="61"/>
  <c r="R81" i="61"/>
  <c r="R136" i="61" s="1"/>
  <c r="AA124" i="60"/>
  <c r="T100" i="60" l="1"/>
  <c r="T122" i="61"/>
  <c r="T125" i="61"/>
  <c r="T132" i="61" s="1"/>
  <c r="T126" i="61"/>
  <c r="S143" i="61"/>
  <c r="R138" i="61"/>
  <c r="R144" i="61"/>
  <c r="T89" i="61"/>
  <c r="S73" i="61"/>
  <c r="T76" i="61"/>
  <c r="T77" i="61"/>
  <c r="T105" i="61"/>
  <c r="T106" i="61" s="1"/>
  <c r="S141" i="61"/>
  <c r="S142" i="61" s="1"/>
  <c r="T91" i="60" l="1"/>
  <c r="S75" i="61"/>
  <c r="R72" i="61"/>
  <c r="R149" i="61"/>
  <c r="R150" i="61" s="1"/>
  <c r="R153" i="61" s="1"/>
  <c r="R154" i="61" s="1"/>
  <c r="R148" i="61"/>
  <c r="T109" i="61"/>
  <c r="T107" i="61"/>
  <c r="T93" i="61"/>
  <c r="T158" i="61" s="1"/>
  <c r="S88" i="61"/>
  <c r="T90" i="61"/>
  <c r="T92" i="61"/>
  <c r="T94" i="60" l="1"/>
  <c r="S93" i="60"/>
  <c r="R157" i="61"/>
  <c r="T99" i="61"/>
  <c r="T100" i="61" s="1"/>
  <c r="T95" i="61"/>
  <c r="T80" i="61"/>
  <c r="T79" i="61" s="1"/>
  <c r="R87" i="61"/>
  <c r="S91" i="61"/>
  <c r="T111" i="61"/>
  <c r="S108" i="61"/>
  <c r="U110" i="61"/>
  <c r="S90" i="60"/>
  <c r="U129" i="61" l="1"/>
  <c r="S130" i="61" s="1"/>
  <c r="U113" i="61"/>
  <c r="U117" i="61" s="1"/>
  <c r="U119" i="61"/>
  <c r="U118" i="61"/>
  <c r="U114" i="61"/>
  <c r="U115" i="61" s="1"/>
  <c r="U112" i="61"/>
  <c r="T97" i="61"/>
  <c r="T85" i="61"/>
  <c r="T135" i="61" s="1"/>
  <c r="T83" i="61"/>
  <c r="T98" i="61" l="1"/>
  <c r="T101" i="61"/>
  <c r="T102" i="61" s="1"/>
  <c r="T82" i="61"/>
  <c r="T140" i="61" s="1"/>
  <c r="T146" i="61" s="1"/>
  <c r="T127" i="61"/>
  <c r="S81" i="61"/>
  <c r="S136" i="61" s="1"/>
  <c r="U123" i="61"/>
  <c r="U128" i="61" s="1"/>
  <c r="U120" i="61"/>
  <c r="U74" i="61"/>
  <c r="AB124" i="60"/>
  <c r="T143" i="61" l="1"/>
  <c r="T141" i="61"/>
  <c r="T142" i="61" s="1"/>
  <c r="U100" i="60"/>
  <c r="U126" i="61"/>
  <c r="U125" i="61"/>
  <c r="U132" i="61" s="1"/>
  <c r="U122" i="61"/>
  <c r="S138" i="61"/>
  <c r="S144" i="61"/>
  <c r="T73" i="61"/>
  <c r="U76" i="61"/>
  <c r="U77" i="61"/>
  <c r="U89" i="61"/>
  <c r="U105" i="61"/>
  <c r="U106" i="61" s="1"/>
  <c r="U109" i="61" l="1"/>
  <c r="U107" i="61"/>
  <c r="T88" i="61"/>
  <c r="U92" i="61"/>
  <c r="U93" i="61"/>
  <c r="U158" i="61" s="1"/>
  <c r="U90" i="61"/>
  <c r="S149" i="61"/>
  <c r="S150" i="61" s="1"/>
  <c r="S153" i="61" s="1"/>
  <c r="S154" i="61" s="1"/>
  <c r="S148" i="61"/>
  <c r="T75" i="61"/>
  <c r="S72" i="61"/>
  <c r="U91" i="60"/>
  <c r="U94" i="60" l="1"/>
  <c r="T93" i="60"/>
  <c r="S87" i="61"/>
  <c r="T91" i="61"/>
  <c r="S157" i="61"/>
  <c r="U95" i="61"/>
  <c r="U99" i="61"/>
  <c r="U100" i="61" s="1"/>
  <c r="U80" i="61"/>
  <c r="U79" i="61" s="1"/>
  <c r="T108" i="61"/>
  <c r="U111" i="61"/>
  <c r="V110" i="61"/>
  <c r="T90" i="60"/>
  <c r="U83" i="61" l="1"/>
  <c r="U97" i="61"/>
  <c r="U85" i="61"/>
  <c r="U135" i="61" s="1"/>
  <c r="V119" i="61"/>
  <c r="V112" i="61"/>
  <c r="V118" i="61"/>
  <c r="V129" i="61"/>
  <c r="T130" i="61" s="1"/>
  <c r="V114" i="61"/>
  <c r="V115" i="61" s="1"/>
  <c r="V113" i="61"/>
  <c r="V117" i="61" s="1"/>
  <c r="V123" i="61" l="1"/>
  <c r="V128" i="61" s="1"/>
  <c r="V120" i="61"/>
  <c r="V74" i="61"/>
  <c r="U98" i="61"/>
  <c r="U101" i="61"/>
  <c r="U102" i="61" s="1"/>
  <c r="U127" i="61"/>
  <c r="U82" i="61"/>
  <c r="U140" i="61" s="1"/>
  <c r="U146" i="61" s="1"/>
  <c r="T81" i="61"/>
  <c r="T136" i="61" s="1"/>
  <c r="AC124" i="60"/>
  <c r="V100" i="60" l="1"/>
  <c r="V76" i="61"/>
  <c r="V105" i="61"/>
  <c r="V106" i="61" s="1"/>
  <c r="V77" i="61"/>
  <c r="V89" i="61"/>
  <c r="U73" i="61"/>
  <c r="U141" i="61"/>
  <c r="U142" i="61" s="1"/>
  <c r="T138" i="61"/>
  <c r="T144" i="61"/>
  <c r="V125" i="61"/>
  <c r="V132" i="61" s="1"/>
  <c r="V122" i="61"/>
  <c r="V126" i="61"/>
  <c r="U143" i="61"/>
  <c r="V90" i="61" l="1"/>
  <c r="V93" i="61"/>
  <c r="V158" i="61" s="1"/>
  <c r="V92" i="61"/>
  <c r="U88" i="61"/>
  <c r="T149" i="61"/>
  <c r="T150" i="61" s="1"/>
  <c r="T153" i="61" s="1"/>
  <c r="T154" i="61" s="1"/>
  <c r="T148" i="61"/>
  <c r="V109" i="61"/>
  <c r="V107" i="61"/>
  <c r="V91" i="60"/>
  <c r="U75" i="61"/>
  <c r="T72" i="61"/>
  <c r="V94" i="60" l="1"/>
  <c r="U93" i="60"/>
  <c r="T157" i="61"/>
  <c r="V99" i="61"/>
  <c r="V100" i="61" s="1"/>
  <c r="V95" i="61"/>
  <c r="V80" i="61"/>
  <c r="V111" i="61"/>
  <c r="U108" i="61"/>
  <c r="W110" i="61"/>
  <c r="U90" i="60"/>
  <c r="U91" i="61"/>
  <c r="T87" i="61"/>
  <c r="W129" i="61" l="1"/>
  <c r="U130" i="61" s="1"/>
  <c r="W114" i="61"/>
  <c r="W115" i="61" s="1"/>
  <c r="W118" i="61"/>
  <c r="W112" i="61"/>
  <c r="W119" i="61"/>
  <c r="W113" i="61"/>
  <c r="W117" i="61" s="1"/>
  <c r="V79" i="61"/>
  <c r="V97" i="61"/>
  <c r="V85" i="61"/>
  <c r="V135" i="61" s="1"/>
  <c r="V83" i="61"/>
  <c r="V82" i="61" l="1"/>
  <c r="V140" i="61" s="1"/>
  <c r="V146" i="61" s="1"/>
  <c r="V127" i="61"/>
  <c r="U81" i="61"/>
  <c r="U136" i="61" s="1"/>
  <c r="V101" i="61"/>
  <c r="V102" i="61" s="1"/>
  <c r="V98" i="61"/>
  <c r="W123" i="61"/>
  <c r="W128" i="61" s="1"/>
  <c r="W120" i="61"/>
  <c r="W74" i="61"/>
  <c r="AD124" i="60"/>
  <c r="V143" i="61" l="1"/>
  <c r="W100" i="60"/>
  <c r="U138" i="61"/>
  <c r="U144" i="61"/>
  <c r="W125" i="61"/>
  <c r="W132" i="61" s="1"/>
  <c r="W122" i="61"/>
  <c r="W126" i="61"/>
  <c r="V141" i="61"/>
  <c r="V142" i="61" s="1"/>
  <c r="W77" i="61"/>
  <c r="W105" i="61"/>
  <c r="W106" i="61" s="1"/>
  <c r="W76" i="61"/>
  <c r="V73" i="61"/>
  <c r="W89" i="61"/>
  <c r="U149" i="61" l="1"/>
  <c r="U150" i="61" s="1"/>
  <c r="U153" i="61" s="1"/>
  <c r="U154" i="61" s="1"/>
  <c r="U148" i="61"/>
  <c r="W109" i="61"/>
  <c r="W107" i="61"/>
  <c r="V88" i="61"/>
  <c r="W90" i="61"/>
  <c r="W93" i="61"/>
  <c r="W158" i="61" s="1"/>
  <c r="W92" i="61"/>
  <c r="W91" i="60"/>
  <c r="V75" i="61"/>
  <c r="U72" i="61"/>
  <c r="U157" i="61" l="1"/>
  <c r="W94" i="60"/>
  <c r="V93" i="60"/>
  <c r="W111" i="61"/>
  <c r="V108" i="61"/>
  <c r="X110" i="61"/>
  <c r="W95" i="61"/>
  <c r="W99" i="61"/>
  <c r="W100" i="61" s="1"/>
  <c r="W80" i="61"/>
  <c r="V90" i="60"/>
  <c r="V91" i="61"/>
  <c r="U87" i="61"/>
  <c r="X112" i="61" l="1"/>
  <c r="X113" i="61"/>
  <c r="X117" i="61" s="1"/>
  <c r="X129" i="61"/>
  <c r="V130" i="61" s="1"/>
  <c r="X114" i="61"/>
  <c r="X115" i="61" s="1"/>
  <c r="X118" i="61"/>
  <c r="X119" i="61"/>
  <c r="W79" i="61"/>
  <c r="W83" i="61"/>
  <c r="W97" i="61"/>
  <c r="W85" i="61"/>
  <c r="W135" i="61" s="1"/>
  <c r="X123" i="61" l="1"/>
  <c r="X128" i="61" s="1"/>
  <c r="X120" i="61"/>
  <c r="X74" i="61"/>
  <c r="W98" i="61"/>
  <c r="W101" i="61"/>
  <c r="W102" i="61" s="1"/>
  <c r="W82" i="61"/>
  <c r="W140" i="61" s="1"/>
  <c r="W146" i="61" s="1"/>
  <c r="W127" i="61"/>
  <c r="V81" i="61"/>
  <c r="V136" i="61" s="1"/>
  <c r="AE124" i="60"/>
  <c r="X77" i="61" l="1"/>
  <c r="W73" i="61"/>
  <c r="X89" i="61"/>
  <c r="X105" i="61"/>
  <c r="X106" i="61" s="1"/>
  <c r="X76" i="61"/>
  <c r="W141" i="61"/>
  <c r="W142" i="61" s="1"/>
  <c r="X100" i="60"/>
  <c r="X126" i="61"/>
  <c r="X125" i="61"/>
  <c r="X132" i="61" s="1"/>
  <c r="X122" i="61"/>
  <c r="V138" i="61"/>
  <c r="V144" i="61"/>
  <c r="W143" i="61"/>
  <c r="V72" i="61" l="1"/>
  <c r="W75" i="61"/>
  <c r="V149" i="61"/>
  <c r="V150" i="61" s="1"/>
  <c r="V153" i="61" s="1"/>
  <c r="V154" i="61" s="1"/>
  <c r="V148" i="61"/>
  <c r="X93" i="61"/>
  <c r="X158" i="61" s="1"/>
  <c r="X92" i="61"/>
  <c r="W88" i="61"/>
  <c r="X90" i="61"/>
  <c r="X91" i="60"/>
  <c r="X109" i="61"/>
  <c r="X107" i="61"/>
  <c r="V157" i="61" l="1"/>
  <c r="X94" i="60"/>
  <c r="W93" i="60"/>
  <c r="W90" i="60"/>
  <c r="X95" i="61"/>
  <c r="X99" i="61"/>
  <c r="X100" i="61" s="1"/>
  <c r="X80" i="61"/>
  <c r="X79" i="61" s="1"/>
  <c r="W91" i="61"/>
  <c r="V87" i="61"/>
  <c r="W108" i="61"/>
  <c r="X111" i="61"/>
  <c r="Y110" i="61"/>
  <c r="Y119" i="61" l="1"/>
  <c r="Y118" i="61"/>
  <c r="Y112" i="61"/>
  <c r="Y129" i="61"/>
  <c r="W130" i="61" s="1"/>
  <c r="Y113" i="61"/>
  <c r="Y117" i="61" s="1"/>
  <c r="Y114" i="61"/>
  <c r="Y115" i="61" s="1"/>
  <c r="X83" i="61"/>
  <c r="X85" i="61"/>
  <c r="X135" i="61" s="1"/>
  <c r="X97" i="61"/>
  <c r="X82" i="61" l="1"/>
  <c r="X140" i="61" s="1"/>
  <c r="X146" i="61" s="1"/>
  <c r="X127" i="61"/>
  <c r="W81" i="61"/>
  <c r="W136" i="61" s="1"/>
  <c r="Y123" i="61"/>
  <c r="Y128" i="61" s="1"/>
  <c r="Y74" i="61"/>
  <c r="Y120" i="61"/>
  <c r="X101" i="61"/>
  <c r="X102" i="61" s="1"/>
  <c r="X98" i="61"/>
  <c r="AF124" i="60"/>
  <c r="X143" i="61" l="1"/>
  <c r="X141" i="61"/>
  <c r="X142" i="61" s="1"/>
  <c r="Y126" i="61"/>
  <c r="Y125" i="61"/>
  <c r="Y132" i="61" s="1"/>
  <c r="Y122" i="61"/>
  <c r="Y100" i="60"/>
  <c r="W138" i="61"/>
  <c r="W144" i="61"/>
  <c r="Y76" i="61"/>
  <c r="Y89" i="61"/>
  <c r="Y105" i="61"/>
  <c r="Y106" i="61" s="1"/>
  <c r="Y77" i="61"/>
  <c r="X73" i="61"/>
  <c r="Y109" i="61" l="1"/>
  <c r="Y107" i="61"/>
  <c r="W149" i="61"/>
  <c r="W150" i="61" s="1"/>
  <c r="W153" i="61" s="1"/>
  <c r="W154" i="61" s="1"/>
  <c r="W148" i="61"/>
  <c r="Y92" i="61"/>
  <c r="Y93" i="61"/>
  <c r="Y158" i="61" s="1"/>
  <c r="Y90" i="61"/>
  <c r="X88" i="61"/>
  <c r="Y91" i="60"/>
  <c r="X75" i="61"/>
  <c r="W72" i="61"/>
  <c r="Y94" i="60" l="1"/>
  <c r="X93" i="60"/>
  <c r="X90" i="60"/>
  <c r="W157" i="61"/>
  <c r="W87" i="61"/>
  <c r="X91" i="61"/>
  <c r="X108" i="61"/>
  <c r="Y111" i="61"/>
  <c r="Z110" i="61"/>
  <c r="Y95" i="61"/>
  <c r="Y99" i="61"/>
  <c r="Y100" i="61" s="1"/>
  <c r="Y80" i="61"/>
  <c r="Y79" i="61" l="1"/>
  <c r="Y85" i="61"/>
  <c r="Y135" i="61" s="1"/>
  <c r="Y97" i="61"/>
  <c r="Y83" i="61"/>
  <c r="Z118" i="61"/>
  <c r="Z113" i="61"/>
  <c r="Z117" i="61" s="1"/>
  <c r="Z114" i="61"/>
  <c r="Z115" i="61" s="1"/>
  <c r="Z129" i="61"/>
  <c r="X130" i="61" s="1"/>
  <c r="Z112" i="61"/>
  <c r="Z119" i="61"/>
  <c r="Y101" i="61" l="1"/>
  <c r="Y102" i="61" s="1"/>
  <c r="Y98" i="61"/>
  <c r="Y82" i="61"/>
  <c r="Y140" i="61" s="1"/>
  <c r="Y146" i="61" s="1"/>
  <c r="Y127" i="61"/>
  <c r="X81" i="61"/>
  <c r="X136" i="61" s="1"/>
  <c r="Z120" i="61"/>
  <c r="Z74" i="61"/>
  <c r="Z123" i="61"/>
  <c r="Z128" i="61" s="1"/>
  <c r="AG124" i="60"/>
  <c r="Z76" i="61" l="1"/>
  <c r="Y73" i="61"/>
  <c r="Z77" i="61"/>
  <c r="Z105" i="61"/>
  <c r="Z106" i="61" s="1"/>
  <c r="Z89" i="61"/>
  <c r="Y143" i="61"/>
  <c r="Z100" i="60"/>
  <c r="Z125" i="61"/>
  <c r="Z132" i="61" s="1"/>
  <c r="Z126" i="61"/>
  <c r="Z122" i="61"/>
  <c r="X138" i="61"/>
  <c r="X144" i="61"/>
  <c r="Y141" i="61"/>
  <c r="Y142" i="61" s="1"/>
  <c r="X72" i="61" l="1"/>
  <c r="Y75" i="61"/>
  <c r="X149" i="61"/>
  <c r="X150" i="61" s="1"/>
  <c r="X153" i="61" s="1"/>
  <c r="X154" i="61" s="1"/>
  <c r="X148" i="61"/>
  <c r="Z109" i="61"/>
  <c r="Z107" i="61"/>
  <c r="Z91" i="60"/>
  <c r="Z90" i="61"/>
  <c r="Z93" i="61"/>
  <c r="Z158" i="61" s="1"/>
  <c r="Y88" i="61"/>
  <c r="Z92" i="61"/>
  <c r="Z94" i="60" l="1"/>
  <c r="Y93" i="60"/>
  <c r="Y90" i="60"/>
  <c r="X87" i="61"/>
  <c r="Y91" i="61"/>
  <c r="Y108" i="61"/>
  <c r="Z111" i="61"/>
  <c r="AA110" i="61"/>
  <c r="Z99" i="61"/>
  <c r="Z100" i="61" s="1"/>
  <c r="Z95" i="61"/>
  <c r="Z80" i="61"/>
  <c r="X157" i="61"/>
  <c r="Z79" i="61" l="1"/>
  <c r="Z97" i="61"/>
  <c r="Z83" i="61"/>
  <c r="Z85" i="61"/>
  <c r="Z135" i="61" s="1"/>
  <c r="AA118" i="61"/>
  <c r="AA119" i="61"/>
  <c r="AA129" i="61"/>
  <c r="Y130" i="61" s="1"/>
  <c r="AA114" i="61"/>
  <c r="AA115" i="61" s="1"/>
  <c r="AA113" i="61"/>
  <c r="AA117" i="61" s="1"/>
  <c r="AA112" i="61"/>
  <c r="Z82" i="61" l="1"/>
  <c r="Z140" i="61" s="1"/>
  <c r="Z146" i="61" s="1"/>
  <c r="Z127" i="61"/>
  <c r="Y81" i="61"/>
  <c r="Y136" i="61" s="1"/>
  <c r="AA123" i="61"/>
  <c r="AA128" i="61" s="1"/>
  <c r="AA74" i="61"/>
  <c r="AA120" i="61"/>
  <c r="Z98" i="61"/>
  <c r="Z101" i="61"/>
  <c r="Z102" i="61" s="1"/>
  <c r="AH124" i="60"/>
  <c r="AA77" i="61" l="1"/>
  <c r="AA105" i="61"/>
  <c r="AA106" i="61" s="1"/>
  <c r="Z73" i="61"/>
  <c r="AA89" i="61"/>
  <c r="AA76" i="61"/>
  <c r="Y138" i="61"/>
  <c r="Y144" i="61"/>
  <c r="AA100" i="60"/>
  <c r="Z141" i="61"/>
  <c r="Z142" i="61" s="1"/>
  <c r="Z143" i="61"/>
  <c r="AA126" i="61"/>
  <c r="AA125" i="61"/>
  <c r="AA132" i="61" s="1"/>
  <c r="AA122" i="61"/>
  <c r="AA109" i="61" l="1"/>
  <c r="AA107" i="61"/>
  <c r="Y149" i="61"/>
  <c r="Y150" i="61" s="1"/>
  <c r="Y153" i="61" s="1"/>
  <c r="Y154" i="61" s="1"/>
  <c r="Y148" i="61"/>
  <c r="Z75" i="61"/>
  <c r="Y72" i="61"/>
  <c r="AA91" i="60"/>
  <c r="AA92" i="61"/>
  <c r="AA90" i="61"/>
  <c r="AA93" i="61"/>
  <c r="AA158" i="61" s="1"/>
  <c r="Z88" i="61"/>
  <c r="AA94" i="60" l="1"/>
  <c r="Z93" i="60"/>
  <c r="Y87" i="61"/>
  <c r="Z91" i="61"/>
  <c r="AA95" i="61"/>
  <c r="AA99" i="61"/>
  <c r="AA100" i="61" s="1"/>
  <c r="AA80" i="61"/>
  <c r="Z90" i="60"/>
  <c r="Y157" i="61"/>
  <c r="AA111" i="61"/>
  <c r="Z108" i="61"/>
  <c r="AB110" i="61"/>
  <c r="AB118" i="61" l="1"/>
  <c r="AB112" i="61"/>
  <c r="AB113" i="61"/>
  <c r="AB117" i="61" s="1"/>
  <c r="AB119" i="61"/>
  <c r="AB129" i="61"/>
  <c r="Z130" i="61" s="1"/>
  <c r="AB114" i="61"/>
  <c r="AB115" i="61" s="1"/>
  <c r="AA79" i="61"/>
  <c r="AA85" i="61"/>
  <c r="AA135" i="61" s="1"/>
  <c r="AA97" i="61"/>
  <c r="AA83" i="61"/>
  <c r="AA127" i="61" l="1"/>
  <c r="AA82" i="61"/>
  <c r="AA140" i="61" s="1"/>
  <c r="AA146" i="61" s="1"/>
  <c r="Z81" i="61"/>
  <c r="Z136" i="61" s="1"/>
  <c r="AA101" i="61"/>
  <c r="AA102" i="61" s="1"/>
  <c r="AA98" i="61"/>
  <c r="AB120" i="61"/>
  <c r="AB74" i="61"/>
  <c r="AB123" i="61"/>
  <c r="AB128" i="61" s="1"/>
  <c r="AI124" i="60"/>
  <c r="AA143" i="61" l="1"/>
  <c r="AA141" i="61"/>
  <c r="AA142" i="61" s="1"/>
  <c r="Z138" i="61"/>
  <c r="Z144" i="61"/>
  <c r="AB126" i="61"/>
  <c r="AB122" i="61"/>
  <c r="AB125" i="61"/>
  <c r="AB132" i="61" s="1"/>
  <c r="AB100" i="60"/>
  <c r="AB77" i="61"/>
  <c r="AB76" i="61"/>
  <c r="AB89" i="61"/>
  <c r="AB105" i="61"/>
  <c r="AB106" i="61" s="1"/>
  <c r="AA73" i="61"/>
  <c r="AA75" i="61" l="1"/>
  <c r="Z72" i="61"/>
  <c r="AB91" i="60"/>
  <c r="AB109" i="61"/>
  <c r="AB107" i="61"/>
  <c r="AB92" i="61"/>
  <c r="AB90" i="61"/>
  <c r="AB93" i="61"/>
  <c r="AB158" i="61" s="1"/>
  <c r="AA88" i="61"/>
  <c r="Z149" i="61"/>
  <c r="Z150" i="61" s="1"/>
  <c r="Z153" i="61" s="1"/>
  <c r="Z154" i="61" s="1"/>
  <c r="Z148" i="61"/>
  <c r="AB94" i="60" l="1"/>
  <c r="AA93" i="60"/>
  <c r="AA91" i="61"/>
  <c r="Z87" i="61"/>
  <c r="AA90" i="60"/>
  <c r="AB111" i="61"/>
  <c r="AA108" i="61"/>
  <c r="AC110" i="61"/>
  <c r="Z157" i="61"/>
  <c r="AB95" i="61"/>
  <c r="AB99" i="61"/>
  <c r="AB100" i="61" s="1"/>
  <c r="AB80" i="61"/>
  <c r="AC114" i="61" l="1"/>
  <c r="AC115" i="61" s="1"/>
  <c r="AC113" i="61"/>
  <c r="AC117" i="61" s="1"/>
  <c r="AC112" i="61"/>
  <c r="AC119" i="61"/>
  <c r="AC118" i="61"/>
  <c r="AC129" i="61"/>
  <c r="AA130" i="61" s="1"/>
  <c r="AB79" i="61"/>
  <c r="AB85" i="61"/>
  <c r="AB135" i="61" s="1"/>
  <c r="AB83" i="61"/>
  <c r="AB97" i="61"/>
  <c r="AB98" i="61" l="1"/>
  <c r="AB101" i="61"/>
  <c r="AB102" i="61" s="1"/>
  <c r="AB82" i="61"/>
  <c r="AB140" i="61" s="1"/>
  <c r="AB146" i="61" s="1"/>
  <c r="AB127" i="61"/>
  <c r="AA81" i="61"/>
  <c r="AA136" i="61" s="1"/>
  <c r="AC120" i="61"/>
  <c r="AC74" i="61"/>
  <c r="AC123" i="61"/>
  <c r="AC128" i="61" s="1"/>
  <c r="AJ124" i="60"/>
  <c r="AB143" i="61" l="1"/>
  <c r="AC126" i="61"/>
  <c r="AC122" i="61"/>
  <c r="AC125" i="61"/>
  <c r="AC132" i="61" s="1"/>
  <c r="AB73" i="61"/>
  <c r="AC76" i="61"/>
  <c r="AC77" i="61"/>
  <c r="AC89" i="61"/>
  <c r="AC105" i="61"/>
  <c r="AC106" i="61" s="1"/>
  <c r="AB141" i="61"/>
  <c r="AB142" i="61" s="1"/>
  <c r="AA138" i="61"/>
  <c r="AA144" i="61"/>
  <c r="AC100" i="60"/>
  <c r="AB88" i="61" l="1"/>
  <c r="AC90" i="61"/>
  <c r="AC92" i="61"/>
  <c r="AC93" i="61"/>
  <c r="AC158" i="61" s="1"/>
  <c r="AC91" i="60"/>
  <c r="AA149" i="61"/>
  <c r="AA150" i="61" s="1"/>
  <c r="AA153" i="61" s="1"/>
  <c r="AA154" i="61" s="1"/>
  <c r="AA148" i="61"/>
  <c r="AC109" i="61"/>
  <c r="AC107" i="61"/>
  <c r="AA72" i="61"/>
  <c r="AB75" i="61"/>
  <c r="AC94" i="60" l="1"/>
  <c r="AB93" i="60"/>
  <c r="AC99" i="61"/>
  <c r="AC100" i="61" s="1"/>
  <c r="AC95" i="61"/>
  <c r="AC80" i="61"/>
  <c r="AC79" i="61" s="1"/>
  <c r="AB90" i="60"/>
  <c r="AA87" i="61"/>
  <c r="AB91" i="61"/>
  <c r="AC111" i="61"/>
  <c r="AB108" i="61"/>
  <c r="AD110" i="61"/>
  <c r="AA157" i="61"/>
  <c r="AD114" i="61" l="1"/>
  <c r="AD115" i="61" s="1"/>
  <c r="AD129" i="61"/>
  <c r="AB130" i="61" s="1"/>
  <c r="AD119" i="61"/>
  <c r="AD113" i="61"/>
  <c r="AD117" i="61" s="1"/>
  <c r="AD118" i="61"/>
  <c r="AD112" i="61"/>
  <c r="AC83" i="61"/>
  <c r="AC85" i="61"/>
  <c r="AC135" i="61" s="1"/>
  <c r="AC97" i="61"/>
  <c r="AC98" i="61" l="1"/>
  <c r="AC101" i="61"/>
  <c r="AC102" i="61" s="1"/>
  <c r="AC82" i="61"/>
  <c r="AC140" i="61" s="1"/>
  <c r="AC146" i="61" s="1"/>
  <c r="AC127" i="61"/>
  <c r="AB81" i="61"/>
  <c r="AB136" i="61" s="1"/>
  <c r="AD74" i="61"/>
  <c r="AD123" i="61"/>
  <c r="AD128" i="61" s="1"/>
  <c r="AD120" i="61"/>
  <c r="AK124" i="60"/>
  <c r="AD100" i="60" l="1"/>
  <c r="AD76" i="61"/>
  <c r="AD89" i="61"/>
  <c r="AD105" i="61"/>
  <c r="AD106" i="61" s="1"/>
  <c r="AC73" i="61"/>
  <c r="AD77" i="61"/>
  <c r="AC143" i="61"/>
  <c r="AC141" i="61"/>
  <c r="AC142" i="61" s="1"/>
  <c r="AD122" i="61"/>
  <c r="AD126" i="61"/>
  <c r="AD125" i="61"/>
  <c r="AD132" i="61" s="1"/>
  <c r="AB138" i="61"/>
  <c r="AB144" i="61"/>
  <c r="AD109" i="61" l="1"/>
  <c r="AD107" i="61"/>
  <c r="AB149" i="61"/>
  <c r="AB150" i="61" s="1"/>
  <c r="AB153" i="61" s="1"/>
  <c r="AB154" i="61" s="1"/>
  <c r="AB148" i="61"/>
  <c r="AC88" i="61"/>
  <c r="AD90" i="61"/>
  <c r="AD93" i="61"/>
  <c r="AD158" i="61" s="1"/>
  <c r="AD92" i="61"/>
  <c r="AD91" i="60"/>
  <c r="AC75" i="61"/>
  <c r="AB72" i="61"/>
  <c r="AD94" i="60" l="1"/>
  <c r="AC93" i="60"/>
  <c r="AD95" i="61"/>
  <c r="AD99" i="61"/>
  <c r="AD100" i="61" s="1"/>
  <c r="AD80" i="61"/>
  <c r="AC90" i="60"/>
  <c r="AB87" i="61"/>
  <c r="AC91" i="61"/>
  <c r="AB157" i="61"/>
  <c r="AD111" i="61"/>
  <c r="AC108" i="61"/>
  <c r="AE110" i="61"/>
  <c r="AD79" i="61" l="1"/>
  <c r="AD85" i="61"/>
  <c r="AD135" i="61" s="1"/>
  <c r="AD83" i="61"/>
  <c r="AD97" i="61"/>
  <c r="AE113" i="61"/>
  <c r="AE117" i="61" s="1"/>
  <c r="AE119" i="61"/>
  <c r="AE129" i="61"/>
  <c r="AC130" i="61" s="1"/>
  <c r="AE114" i="61"/>
  <c r="AE115" i="61" s="1"/>
  <c r="AE118" i="61"/>
  <c r="AE112" i="61"/>
  <c r="AE123" i="61" l="1"/>
  <c r="AE128" i="61" s="1"/>
  <c r="AE74" i="61"/>
  <c r="AE120" i="61"/>
  <c r="AD127" i="61"/>
  <c r="AD82" i="61"/>
  <c r="AD140" i="61" s="1"/>
  <c r="AD146" i="61" s="1"/>
  <c r="AC81" i="61"/>
  <c r="AC136" i="61" s="1"/>
  <c r="AD98" i="61"/>
  <c r="AD101" i="61"/>
  <c r="AD102" i="61" s="1"/>
  <c r="AL124" i="60"/>
  <c r="AD141" i="61" l="1"/>
  <c r="AD142" i="61" s="1"/>
  <c r="AE125" i="61"/>
  <c r="AE132" i="61" s="1"/>
  <c r="AE122" i="61"/>
  <c r="AE126" i="61"/>
  <c r="AC138" i="61"/>
  <c r="AC144" i="61"/>
  <c r="AD143" i="61"/>
  <c r="AE76" i="61"/>
  <c r="AE105" i="61"/>
  <c r="AE106" i="61" s="1"/>
  <c r="AD73" i="61"/>
  <c r="AE89" i="61"/>
  <c r="AE77" i="61"/>
  <c r="AE100" i="60"/>
  <c r="AD75" i="61" l="1"/>
  <c r="AC72" i="61"/>
  <c r="AE93" i="61"/>
  <c r="AE158" i="61" s="1"/>
  <c r="AE90" i="61"/>
  <c r="AD88" i="61"/>
  <c r="AE92" i="61"/>
  <c r="AE109" i="61"/>
  <c r="AE107" i="61"/>
  <c r="AE91" i="60"/>
  <c r="AC149" i="61"/>
  <c r="AC150" i="61" s="1"/>
  <c r="AC153" i="61" s="1"/>
  <c r="AC154" i="61" s="1"/>
  <c r="AC148" i="61"/>
  <c r="AE94" i="60" l="1"/>
  <c r="AD93" i="60"/>
  <c r="AC157" i="61"/>
  <c r="AD90" i="60"/>
  <c r="AC87" i="61"/>
  <c r="AD91" i="61"/>
  <c r="AE95" i="61"/>
  <c r="AE99" i="61"/>
  <c r="AE100" i="61" s="1"/>
  <c r="AE80" i="61"/>
  <c r="AE79" i="61" s="1"/>
  <c r="AE111" i="61"/>
  <c r="AD108" i="61"/>
  <c r="AF110" i="61"/>
  <c r="AF113" i="61" l="1"/>
  <c r="AF117" i="61" s="1"/>
  <c r="AF112" i="61"/>
  <c r="AF118" i="61"/>
  <c r="AF114" i="61"/>
  <c r="AF115" i="61" s="1"/>
  <c r="AF129" i="61"/>
  <c r="AD130" i="61" s="1"/>
  <c r="AF119" i="61"/>
  <c r="AE83" i="61"/>
  <c r="AE85" i="61"/>
  <c r="AE135" i="61" s="1"/>
  <c r="AE97" i="61"/>
  <c r="AE82" i="61" l="1"/>
  <c r="AE140" i="61" s="1"/>
  <c r="AE146" i="61" s="1"/>
  <c r="AE127" i="61"/>
  <c r="AD81" i="61"/>
  <c r="AD136" i="61" s="1"/>
  <c r="AE98" i="61"/>
  <c r="AE101" i="61"/>
  <c r="AE102" i="61" s="1"/>
  <c r="AF120" i="61"/>
  <c r="AF123" i="61"/>
  <c r="AF128" i="61" s="1"/>
  <c r="AF74" i="61"/>
  <c r="AM124" i="60"/>
  <c r="AE143" i="61" l="1"/>
  <c r="AE141" i="61"/>
  <c r="AE142" i="61" s="1"/>
  <c r="AF125" i="61"/>
  <c r="AF132" i="61" s="1"/>
  <c r="AF126" i="61"/>
  <c r="AF122" i="61"/>
  <c r="AD138" i="61"/>
  <c r="AD144" i="61"/>
  <c r="AF77" i="61"/>
  <c r="AF89" i="61"/>
  <c r="AF76" i="61"/>
  <c r="AE73" i="61"/>
  <c r="AF105" i="61"/>
  <c r="AF106" i="61" s="1"/>
  <c r="AF100" i="60"/>
  <c r="AE75" i="61" l="1"/>
  <c r="AD72" i="61"/>
  <c r="AF91" i="60"/>
  <c r="AF109" i="61"/>
  <c r="AF107" i="61"/>
  <c r="AF90" i="61"/>
  <c r="AF92" i="61"/>
  <c r="AE88" i="61"/>
  <c r="AF93" i="61"/>
  <c r="AF158" i="61" s="1"/>
  <c r="AD149" i="61"/>
  <c r="AD150" i="61" s="1"/>
  <c r="AD153" i="61" s="1"/>
  <c r="AD154" i="61" s="1"/>
  <c r="AD148" i="61"/>
  <c r="AF94" i="60" l="1"/>
  <c r="AE93" i="60"/>
  <c r="AE91" i="61"/>
  <c r="AD87" i="61"/>
  <c r="AE108" i="61"/>
  <c r="AF111" i="61"/>
  <c r="AG110" i="61"/>
  <c r="AD157" i="61"/>
  <c r="AF99" i="61"/>
  <c r="AF100" i="61" s="1"/>
  <c r="AF95" i="61"/>
  <c r="AF80" i="61"/>
  <c r="AF79" i="61" s="1"/>
  <c r="AE90" i="60"/>
  <c r="AF83" i="61" l="1"/>
  <c r="AF97" i="61"/>
  <c r="AF85" i="61"/>
  <c r="AF135" i="61" s="1"/>
  <c r="AG119" i="61"/>
  <c r="AG113" i="61"/>
  <c r="AG117" i="61" s="1"/>
  <c r="AG114" i="61"/>
  <c r="AG115" i="61" s="1"/>
  <c r="AG129" i="61"/>
  <c r="AE130" i="61" s="1"/>
  <c r="AG118" i="61"/>
  <c r="AG112" i="61"/>
  <c r="AF127" i="61" l="1"/>
  <c r="AF82" i="61"/>
  <c r="AF140" i="61" s="1"/>
  <c r="AF146" i="61" s="1"/>
  <c r="AE81" i="61"/>
  <c r="AE136" i="61" s="1"/>
  <c r="AF101" i="61"/>
  <c r="AF102" i="61" s="1"/>
  <c r="AF98" i="61"/>
  <c r="AG74" i="61"/>
  <c r="AG120" i="61"/>
  <c r="AG123" i="61"/>
  <c r="AG128" i="61" s="1"/>
  <c r="AF143" i="61" l="1"/>
  <c r="AG126" i="61"/>
  <c r="AG125" i="61"/>
  <c r="AG132" i="61" s="1"/>
  <c r="AG122" i="61"/>
  <c r="AG100" i="60"/>
  <c r="AE138" i="61"/>
  <c r="AE144" i="61"/>
  <c r="AG76" i="61"/>
  <c r="AF73" i="61"/>
  <c r="AG105" i="61"/>
  <c r="AG106" i="61" s="1"/>
  <c r="AG77" i="61"/>
  <c r="AG89" i="61"/>
  <c r="AF141" i="61"/>
  <c r="AF142" i="61" s="1"/>
  <c r="AG109" i="61" l="1"/>
  <c r="AG107" i="61"/>
  <c r="AG91" i="60"/>
  <c r="AE72" i="61"/>
  <c r="AF75" i="61"/>
  <c r="AG92" i="61"/>
  <c r="AG90" i="61"/>
  <c r="AF88" i="61"/>
  <c r="AG93" i="61"/>
  <c r="AG158" i="61" s="1"/>
  <c r="AE149" i="61"/>
  <c r="AE150" i="61" s="1"/>
  <c r="AE153" i="61" s="1"/>
  <c r="AE154" i="61" s="1"/>
  <c r="AE148" i="61"/>
  <c r="AE157" i="61" l="1"/>
  <c r="AG94" i="60"/>
  <c r="AF93" i="60"/>
  <c r="AF90" i="60"/>
  <c r="AF91" i="61"/>
  <c r="AE87" i="61"/>
  <c r="AG99" i="61"/>
  <c r="AG100" i="61" s="1"/>
  <c r="AG95" i="61"/>
  <c r="AG80" i="61"/>
  <c r="AG79" i="61" s="1"/>
  <c r="AF108" i="61"/>
  <c r="AG111" i="61"/>
  <c r="AH110" i="61"/>
  <c r="AH114" i="61" l="1"/>
  <c r="AH115" i="61" s="1"/>
  <c r="AH112" i="61"/>
  <c r="AH129" i="61"/>
  <c r="AF130" i="61" s="1"/>
  <c r="AH113" i="61"/>
  <c r="AH117" i="61" s="1"/>
  <c r="AH119" i="61"/>
  <c r="AH118" i="61"/>
  <c r="AG83" i="61"/>
  <c r="AG85" i="61"/>
  <c r="AG135" i="61" s="1"/>
  <c r="AG97" i="61"/>
  <c r="AH123" i="61" l="1"/>
  <c r="AH128" i="61" s="1"/>
  <c r="AH74" i="61"/>
  <c r="AH120" i="61"/>
  <c r="AG82" i="61"/>
  <c r="AG140" i="61" s="1"/>
  <c r="AG146" i="61" s="1"/>
  <c r="AG127" i="61"/>
  <c r="AF81" i="61"/>
  <c r="AF136" i="61" s="1"/>
  <c r="AG98" i="61"/>
  <c r="AG101" i="61"/>
  <c r="AG102" i="61" s="1"/>
  <c r="AG141" i="61" l="1"/>
  <c r="AG142" i="61" s="1"/>
  <c r="AG143" i="61"/>
  <c r="AH100" i="60"/>
  <c r="AF138" i="61"/>
  <c r="AF144" i="61"/>
  <c r="AH126" i="61"/>
  <c r="AH125" i="61"/>
  <c r="AH132" i="61" s="1"/>
  <c r="AH122" i="61"/>
  <c r="AG73" i="61"/>
  <c r="AH105" i="61"/>
  <c r="AH106" i="61" s="1"/>
  <c r="AH76" i="61"/>
  <c r="AH89" i="61"/>
  <c r="AH77" i="61"/>
  <c r="AF149" i="61" l="1"/>
  <c r="AF150" i="61" s="1"/>
  <c r="AF153" i="61" s="1"/>
  <c r="AF154" i="61" s="1"/>
  <c r="AF148" i="61"/>
  <c r="AH109" i="61"/>
  <c r="AH107" i="61"/>
  <c r="AF72" i="61"/>
  <c r="AG75" i="61"/>
  <c r="AH93" i="61"/>
  <c r="AH158" i="61" s="1"/>
  <c r="AH90" i="61"/>
  <c r="AG88" i="61"/>
  <c r="AH92" i="61"/>
  <c r="AH91" i="60"/>
  <c r="AH94" i="60" l="1"/>
  <c r="AG93" i="60"/>
  <c r="AH95" i="61"/>
  <c r="AH99" i="61"/>
  <c r="AH100" i="61" s="1"/>
  <c r="AH80" i="61"/>
  <c r="AH111" i="61"/>
  <c r="AG108" i="61"/>
  <c r="AI110" i="61"/>
  <c r="AG90" i="60"/>
  <c r="AG91" i="61"/>
  <c r="AF87" i="61"/>
  <c r="AF157" i="61"/>
  <c r="AH79" i="61" l="1"/>
  <c r="AH97" i="61"/>
  <c r="AH83" i="61"/>
  <c r="AH85" i="61"/>
  <c r="AH135" i="61" s="1"/>
  <c r="AI114" i="61"/>
  <c r="AI115" i="61" s="1"/>
  <c r="AI113" i="61"/>
  <c r="AI117" i="61" s="1"/>
  <c r="AI112" i="61"/>
  <c r="AI118" i="61"/>
  <c r="AI119" i="61"/>
  <c r="AI129" i="61"/>
  <c r="AG130" i="61" s="1"/>
  <c r="AI123" i="61" l="1"/>
  <c r="AI128" i="61" s="1"/>
  <c r="AI120" i="61"/>
  <c r="AI74" i="61"/>
  <c r="AH82" i="61"/>
  <c r="AH140" i="61" s="1"/>
  <c r="AH146" i="61" s="1"/>
  <c r="AH127" i="61"/>
  <c r="AG81" i="61"/>
  <c r="AG136" i="61" s="1"/>
  <c r="AH98" i="61"/>
  <c r="AH101" i="61"/>
  <c r="AH102" i="61" s="1"/>
  <c r="AH143" i="61" l="1"/>
  <c r="AH141" i="61"/>
  <c r="AH142" i="61" s="1"/>
  <c r="AI100" i="60"/>
  <c r="AG138" i="61"/>
  <c r="AG144" i="61"/>
  <c r="AI89" i="61"/>
  <c r="AI105" i="61"/>
  <c r="AI106" i="61" s="1"/>
  <c r="AI76" i="61"/>
  <c r="AI77" i="61"/>
  <c r="AH73" i="61"/>
  <c r="AI125" i="61"/>
  <c r="AI132" i="61" s="1"/>
  <c r="AI126" i="61"/>
  <c r="AI122" i="61"/>
  <c r="AI91" i="60" l="1"/>
  <c r="AG149" i="61"/>
  <c r="AG150" i="61" s="1"/>
  <c r="AG153" i="61" s="1"/>
  <c r="AG154" i="61" s="1"/>
  <c r="AG148" i="61"/>
  <c r="AH75" i="61"/>
  <c r="AG72" i="61"/>
  <c r="AI93" i="61"/>
  <c r="AI158" i="61" s="1"/>
  <c r="AI90" i="61"/>
  <c r="AH88" i="61"/>
  <c r="AI92" i="61"/>
  <c r="AI109" i="61"/>
  <c r="AI107" i="61"/>
  <c r="AI94" i="60" l="1"/>
  <c r="AH93" i="60"/>
  <c r="AI99" i="61"/>
  <c r="AI100" i="61" s="1"/>
  <c r="AI95" i="61"/>
  <c r="AI80" i="61"/>
  <c r="AI111" i="61"/>
  <c r="AH108" i="61"/>
  <c r="AJ110" i="61"/>
  <c r="AG157" i="61"/>
  <c r="AH90" i="60"/>
  <c r="AH91" i="61"/>
  <c r="AG87" i="61"/>
  <c r="AJ112" i="61" l="1"/>
  <c r="AJ119" i="61"/>
  <c r="AJ129" i="61"/>
  <c r="AH130" i="61" s="1"/>
  <c r="AJ114" i="61"/>
  <c r="AJ115" i="61" s="1"/>
  <c r="AJ118" i="61"/>
  <c r="AJ113" i="61"/>
  <c r="AJ117" i="61" s="1"/>
  <c r="AI79" i="61"/>
  <c r="AI85" i="61"/>
  <c r="AI135" i="61" s="1"/>
  <c r="AI83" i="61"/>
  <c r="AI97" i="61"/>
  <c r="AI98" i="61" l="1"/>
  <c r="AI101" i="61"/>
  <c r="AI102" i="61" s="1"/>
  <c r="AI82" i="61"/>
  <c r="AI140" i="61" s="1"/>
  <c r="AI146" i="61" s="1"/>
  <c r="AI127" i="61"/>
  <c r="AH81" i="61"/>
  <c r="AH136" i="61" s="1"/>
  <c r="AJ74" i="61"/>
  <c r="AJ123" i="61"/>
  <c r="AJ128" i="61" s="1"/>
  <c r="AJ120" i="61"/>
  <c r="AI143" i="61" l="1"/>
  <c r="AJ100" i="60"/>
  <c r="AJ122" i="61"/>
  <c r="AJ125" i="61"/>
  <c r="AJ132" i="61" s="1"/>
  <c r="AJ126" i="61"/>
  <c r="AJ77" i="61"/>
  <c r="AJ105" i="61"/>
  <c r="AJ106" i="61" s="1"/>
  <c r="AI73" i="61"/>
  <c r="AJ76" i="61"/>
  <c r="AJ89" i="61"/>
  <c r="AH138" i="61"/>
  <c r="AH144" i="61"/>
  <c r="AI141" i="61"/>
  <c r="AI142" i="61" s="1"/>
  <c r="AJ109" i="61" l="1"/>
  <c r="AJ107" i="61"/>
  <c r="AJ93" i="61"/>
  <c r="AJ158" i="61" s="1"/>
  <c r="AI88" i="61"/>
  <c r="AJ92" i="61"/>
  <c r="AJ90" i="61"/>
  <c r="AH149" i="61"/>
  <c r="AH150" i="61" s="1"/>
  <c r="AH153" i="61" s="1"/>
  <c r="AH154" i="61" s="1"/>
  <c r="AH148" i="61"/>
  <c r="AJ91" i="60"/>
  <c r="AI75" i="61"/>
  <c r="AH72" i="61"/>
  <c r="AH157" i="61" l="1"/>
  <c r="AJ94" i="60"/>
  <c r="AI93" i="60"/>
  <c r="AI91" i="61"/>
  <c r="AH87" i="61"/>
  <c r="AI90" i="60"/>
  <c r="AJ99" i="61"/>
  <c r="AJ100" i="61" s="1"/>
  <c r="AJ95" i="61"/>
  <c r="AJ80" i="61"/>
  <c r="AJ79" i="61" s="1"/>
  <c r="AI108" i="61"/>
  <c r="AJ111" i="61"/>
  <c r="AK110" i="61"/>
  <c r="AK114" i="61" l="1"/>
  <c r="AK115" i="61" s="1"/>
  <c r="AK112" i="61"/>
  <c r="AK129" i="61"/>
  <c r="AI130" i="61" s="1"/>
  <c r="AK118" i="61"/>
  <c r="AK119" i="61"/>
  <c r="AK113" i="61"/>
  <c r="AK117" i="61" s="1"/>
  <c r="AJ97" i="61"/>
  <c r="AJ83" i="61"/>
  <c r="AJ85" i="61"/>
  <c r="AJ135" i="61" s="1"/>
  <c r="AJ98" i="61" l="1"/>
  <c r="AJ101" i="61"/>
  <c r="AJ102" i="61" s="1"/>
  <c r="AJ82" i="61"/>
  <c r="AJ140" i="61" s="1"/>
  <c r="AJ146" i="61" s="1"/>
  <c r="AJ127" i="61"/>
  <c r="AI81" i="61"/>
  <c r="AI136" i="61" s="1"/>
  <c r="AK120" i="61"/>
  <c r="AK123" i="61"/>
  <c r="AK128" i="61" s="1"/>
  <c r="AK74" i="61"/>
  <c r="AJ143" i="61" l="1"/>
  <c r="AK100" i="60"/>
  <c r="AK76" i="61"/>
  <c r="AK77" i="61"/>
  <c r="AJ73" i="61"/>
  <c r="AK89" i="61"/>
  <c r="AK105" i="61"/>
  <c r="AK106" i="61" s="1"/>
  <c r="AJ141" i="61"/>
  <c r="AJ142" i="61" s="1"/>
  <c r="AK126" i="61"/>
  <c r="AK125" i="61"/>
  <c r="AK132" i="61" s="1"/>
  <c r="AK122" i="61"/>
  <c r="AI138" i="61"/>
  <c r="AI144" i="61"/>
  <c r="AI72" i="61" l="1"/>
  <c r="AJ75" i="61"/>
  <c r="AK91" i="60"/>
  <c r="AK109" i="61"/>
  <c r="AK107" i="61"/>
  <c r="AI149" i="61"/>
  <c r="AI150" i="61" s="1"/>
  <c r="AI153" i="61" s="1"/>
  <c r="AI154" i="61" s="1"/>
  <c r="AI148" i="61"/>
  <c r="AK92" i="61"/>
  <c r="AK93" i="61"/>
  <c r="AK158" i="61" s="1"/>
  <c r="AJ88" i="61"/>
  <c r="AK90" i="61"/>
  <c r="AI157" i="61" l="1"/>
  <c r="AK94" i="60"/>
  <c r="AJ93" i="60"/>
  <c r="AK95" i="61"/>
  <c r="AK99" i="61"/>
  <c r="AK100" i="61" s="1"/>
  <c r="AK80" i="61"/>
  <c r="AK79" i="61" s="1"/>
  <c r="AI87" i="61"/>
  <c r="AJ91" i="61"/>
  <c r="AK111" i="61"/>
  <c r="AJ108" i="61"/>
  <c r="AL110" i="61"/>
  <c r="AJ90" i="60"/>
  <c r="AL112" i="61" l="1"/>
  <c r="AL113" i="61"/>
  <c r="AL117" i="61" s="1"/>
  <c r="AL129" i="61"/>
  <c r="AJ130" i="61" s="1"/>
  <c r="AL114" i="61"/>
  <c r="AL115" i="61" s="1"/>
  <c r="AL118" i="61"/>
  <c r="AL119" i="61"/>
  <c r="AK97" i="61"/>
  <c r="AK85" i="61"/>
  <c r="AK135" i="61" s="1"/>
  <c r="AK83" i="61"/>
  <c r="AL123" i="61" l="1"/>
  <c r="AL128" i="61" s="1"/>
  <c r="AL74" i="61"/>
  <c r="AL120" i="61"/>
  <c r="AK101" i="61"/>
  <c r="AK102" i="61" s="1"/>
  <c r="AK98" i="61"/>
  <c r="AK82" i="61"/>
  <c r="AK140" i="61" s="1"/>
  <c r="AK146" i="61" s="1"/>
  <c r="AK127" i="61"/>
  <c r="AJ81" i="61"/>
  <c r="AJ136" i="61" s="1"/>
  <c r="AJ138" i="61" l="1"/>
  <c r="AJ144" i="61"/>
  <c r="AL100" i="60"/>
  <c r="AL125" i="61"/>
  <c r="AL132" i="61" s="1"/>
  <c r="AL122" i="61"/>
  <c r="AL126" i="61"/>
  <c r="AK141" i="61"/>
  <c r="AK142" i="61" s="1"/>
  <c r="AL77" i="61"/>
  <c r="AK73" i="61"/>
  <c r="AL76" i="61"/>
  <c r="AL105" i="61"/>
  <c r="AL106" i="61" s="1"/>
  <c r="AL89" i="61"/>
  <c r="AK143" i="61"/>
  <c r="AL91" i="60" l="1"/>
  <c r="AJ149" i="61"/>
  <c r="AJ150" i="61" s="1"/>
  <c r="AJ153" i="61" s="1"/>
  <c r="AJ154" i="61" s="1"/>
  <c r="AJ148" i="61"/>
  <c r="AK88" i="61"/>
  <c r="AL93" i="61"/>
  <c r="AL158" i="61" s="1"/>
  <c r="AL90" i="61"/>
  <c r="AL92" i="61"/>
  <c r="AL109" i="61"/>
  <c r="AL107" i="61"/>
  <c r="AK75" i="61"/>
  <c r="AJ72" i="61"/>
  <c r="AL94" i="60" l="1"/>
  <c r="AK93" i="60"/>
  <c r="AJ157" i="61"/>
  <c r="AL111" i="61"/>
  <c r="AK108" i="61"/>
  <c r="AM110" i="61"/>
  <c r="AJ87" i="61"/>
  <c r="AK91" i="61"/>
  <c r="AK90" i="60"/>
  <c r="AL95" i="61"/>
  <c r="AL99" i="61"/>
  <c r="AL100" i="61" s="1"/>
  <c r="AL80" i="61"/>
  <c r="AM113" i="61" l="1"/>
  <c r="AM117" i="61" s="1"/>
  <c r="AM119" i="61"/>
  <c r="AM118" i="61"/>
  <c r="AM114" i="61"/>
  <c r="AM115" i="61" s="1"/>
  <c r="AM129" i="61"/>
  <c r="AK130" i="61" s="1"/>
  <c r="AM112" i="61"/>
  <c r="AL79" i="61"/>
  <c r="AL85" i="61"/>
  <c r="AL135" i="61" s="1"/>
  <c r="AL83" i="61"/>
  <c r="AL97" i="61"/>
  <c r="AM74" i="61" l="1"/>
  <c r="AM120" i="61"/>
  <c r="AM123" i="61"/>
  <c r="AM128" i="61" s="1"/>
  <c r="AL101" i="61"/>
  <c r="AL102" i="61" s="1"/>
  <c r="AL98" i="61"/>
  <c r="AL127" i="61"/>
  <c r="AL82" i="61"/>
  <c r="AL140" i="61" s="1"/>
  <c r="AL146" i="61" s="1"/>
  <c r="AK81" i="61"/>
  <c r="AK136" i="61" s="1"/>
  <c r="AK138" i="61" l="1"/>
  <c r="AK144" i="61"/>
  <c r="AM76" i="61"/>
  <c r="AL73" i="61"/>
  <c r="AM77" i="61"/>
  <c r="AM105" i="61"/>
  <c r="AM106" i="61" s="1"/>
  <c r="AM89" i="61"/>
  <c r="AL141" i="61"/>
  <c r="AL142" i="61" s="1"/>
  <c r="AM122" i="61"/>
  <c r="AM125" i="61"/>
  <c r="AM132" i="61" s="1"/>
  <c r="AM126" i="61"/>
  <c r="AL143" i="61"/>
  <c r="AK72" i="61" l="1"/>
  <c r="AL75" i="61"/>
  <c r="AM93" i="61"/>
  <c r="AM158" i="61" s="1"/>
  <c r="AM90" i="61"/>
  <c r="AL88" i="61"/>
  <c r="AM92" i="61"/>
  <c r="AK149" i="61"/>
  <c r="AK150" i="61" s="1"/>
  <c r="AK153" i="61" s="1"/>
  <c r="AK154" i="61" s="1"/>
  <c r="AK148" i="61"/>
  <c r="AM109" i="61"/>
  <c r="AM107" i="61"/>
  <c r="AK157" i="61" l="1"/>
  <c r="AL108" i="61"/>
  <c r="AM111" i="61"/>
  <c r="AM136" i="61" s="1"/>
  <c r="AM138" i="61" s="1"/>
  <c r="AN110" i="61"/>
  <c r="AM95" i="61"/>
  <c r="AM99" i="61"/>
  <c r="AM100" i="61" s="1"/>
  <c r="AM80" i="61"/>
  <c r="AL91" i="61"/>
  <c r="AK87" i="61"/>
  <c r="AN129" i="61" l="1"/>
  <c r="AN113" i="61"/>
  <c r="AN117" i="61" s="1"/>
  <c r="AN118" i="61"/>
  <c r="AN114" i="61"/>
  <c r="AN115" i="61" s="1"/>
  <c r="AN112" i="61"/>
  <c r="AN119" i="61"/>
  <c r="AM79" i="61"/>
  <c r="AM85" i="61"/>
  <c r="AM135" i="61" s="1"/>
  <c r="AM83" i="61"/>
  <c r="AM97" i="61"/>
  <c r="AM101" i="61" l="1"/>
  <c r="AM102" i="61" s="1"/>
  <c r="AM98" i="61"/>
  <c r="AN74" i="61"/>
  <c r="AN120" i="61"/>
  <c r="AN123" i="61"/>
  <c r="AN128" i="61" s="1"/>
  <c r="AM127" i="61"/>
  <c r="AM82" i="61"/>
  <c r="AM140" i="61" s="1"/>
  <c r="AM146" i="61" s="1"/>
  <c r="AM149" i="61" s="1"/>
  <c r="AL81" i="61"/>
  <c r="AL136" i="61" s="1"/>
  <c r="AM143" i="61" l="1"/>
  <c r="AN77" i="61"/>
  <c r="AN105" i="61"/>
  <c r="AN106" i="61" s="1"/>
  <c r="AN89" i="61"/>
  <c r="AN76" i="61"/>
  <c r="AL138" i="61"/>
  <c r="AL144" i="61"/>
  <c r="AN125" i="61"/>
  <c r="AN132" i="61" s="1"/>
  <c r="AN126" i="61"/>
  <c r="AN122" i="61"/>
  <c r="AM141" i="61"/>
  <c r="AM142" i="61" s="1"/>
  <c r="AM144" i="61" l="1"/>
  <c r="AM155" i="61" s="1"/>
  <c r="AN90" i="61"/>
  <c r="AN92" i="61"/>
  <c r="AN93" i="61"/>
  <c r="AN158" i="61" s="1"/>
  <c r="AL149" i="61"/>
  <c r="AL150" i="61" s="1"/>
  <c r="AL148" i="61"/>
  <c r="AM148" i="61" s="1"/>
  <c r="AN109" i="61"/>
  <c r="AN107" i="61"/>
  <c r="AL155" i="61" l="1"/>
  <c r="AC155" i="61"/>
  <c r="T155" i="61"/>
  <c r="V155" i="61"/>
  <c r="F155" i="61"/>
  <c r="G155" i="61"/>
  <c r="O155" i="61"/>
  <c r="C155" i="61"/>
  <c r="Z155" i="61"/>
  <c r="N155" i="61"/>
  <c r="R155" i="61"/>
  <c r="AA155" i="61"/>
  <c r="AD155" i="61"/>
  <c r="I155" i="61"/>
  <c r="X155" i="61"/>
  <c r="H155" i="61"/>
  <c r="L155" i="61"/>
  <c r="Q155" i="61"/>
  <c r="S155" i="61"/>
  <c r="K155" i="61"/>
  <c r="AB155" i="61"/>
  <c r="Y155" i="61"/>
  <c r="E155" i="61"/>
  <c r="M155" i="61"/>
  <c r="W155" i="61"/>
  <c r="D155" i="61"/>
  <c r="U155" i="61"/>
  <c r="P155" i="61"/>
  <c r="J155" i="61"/>
  <c r="AE155" i="61"/>
  <c r="AF155" i="61"/>
  <c r="AG155" i="61"/>
  <c r="AH155" i="61"/>
  <c r="AI155" i="61"/>
  <c r="AN111" i="61"/>
  <c r="AN136" i="61" s="1"/>
  <c r="AN138" i="61" s="1"/>
  <c r="AO110" i="61"/>
  <c r="AL153" i="61"/>
  <c r="AL154" i="61" s="1"/>
  <c r="AN95" i="61"/>
  <c r="AN99" i="61"/>
  <c r="AN100" i="61" s="1"/>
  <c r="AN80" i="61"/>
  <c r="AJ155" i="61"/>
  <c r="AK155" i="61"/>
  <c r="AL157" i="61" l="1"/>
  <c r="AM150" i="61"/>
  <c r="AM153" i="61" s="1"/>
  <c r="AM154" i="61" s="1"/>
  <c r="AN79" i="61"/>
  <c r="AN85" i="61"/>
  <c r="AN135" i="61" s="1"/>
  <c r="AN97" i="61"/>
  <c r="AN83" i="61"/>
  <c r="AO119" i="61"/>
  <c r="AO118" i="61"/>
  <c r="AO114" i="61"/>
  <c r="AO115" i="61" s="1"/>
  <c r="AO129" i="61"/>
  <c r="AO112" i="61"/>
  <c r="AO113" i="61"/>
  <c r="AO117" i="61" s="1"/>
  <c r="AM157" i="61" l="1"/>
  <c r="AN127" i="61"/>
  <c r="AN82" i="61"/>
  <c r="AN140" i="61" s="1"/>
  <c r="AN146" i="61" s="1"/>
  <c r="AN148" i="61" s="1"/>
  <c r="AN98" i="61"/>
  <c r="AN101" i="61"/>
  <c r="AN102" i="61" s="1"/>
  <c r="AO120" i="61"/>
  <c r="AO123" i="61"/>
  <c r="AO128" i="61" s="1"/>
  <c r="AO74" i="61"/>
  <c r="AN141" i="61" l="1"/>
  <c r="AN142" i="61" s="1"/>
  <c r="AN144" i="61" s="1"/>
  <c r="AN155" i="61"/>
  <c r="AO122" i="61"/>
  <c r="AO126" i="61"/>
  <c r="AO125" i="61"/>
  <c r="AO132" i="61" s="1"/>
  <c r="AN143" i="61"/>
  <c r="AO77" i="61"/>
  <c r="AO89" i="61"/>
  <c r="AO76" i="61"/>
  <c r="AO105" i="61"/>
  <c r="AO106" i="61" s="1"/>
  <c r="AN149" i="61"/>
  <c r="AN150" i="61" s="1"/>
  <c r="AN153" i="61" s="1"/>
  <c r="AN154" i="61" s="1"/>
  <c r="AN157" i="61" l="1"/>
  <c r="AO92" i="61"/>
  <c r="AO93" i="61"/>
  <c r="AO158" i="61" s="1"/>
  <c r="AO90" i="61"/>
  <c r="AO109" i="61"/>
  <c r="AO107" i="61"/>
  <c r="AO99" i="61" l="1"/>
  <c r="AO100" i="61" s="1"/>
  <c r="AO95" i="61"/>
  <c r="AO80" i="61"/>
  <c r="AO111" i="61"/>
  <c r="AO136" i="61" s="1"/>
  <c r="AO138" i="61" s="1"/>
  <c r="AP110" i="61"/>
  <c r="AP112" i="61" l="1"/>
  <c r="AP113" i="61"/>
  <c r="AP117" i="61" s="1"/>
  <c r="AP119" i="61"/>
  <c r="AP118" i="61"/>
  <c r="AP129" i="61"/>
  <c r="AP114" i="61"/>
  <c r="AP115" i="61" s="1"/>
  <c r="AO79" i="61"/>
  <c r="AO85" i="61"/>
  <c r="AO135" i="61" s="1"/>
  <c r="AO97" i="61"/>
  <c r="AO83" i="61"/>
  <c r="AP74" i="61" l="1"/>
  <c r="AP123" i="61"/>
  <c r="AP128" i="61" s="1"/>
  <c r="AP120" i="61"/>
  <c r="AO127" i="61"/>
  <c r="AO82" i="61"/>
  <c r="AO140" i="61" s="1"/>
  <c r="AO146" i="61" s="1"/>
  <c r="AO148" i="61" s="1"/>
  <c r="AO101" i="61"/>
  <c r="AO102" i="61" s="1"/>
  <c r="AO98" i="61"/>
  <c r="AO143" i="61" l="1"/>
  <c r="AP126" i="61"/>
  <c r="AP125" i="61"/>
  <c r="AP132" i="61" s="1"/>
  <c r="AP122" i="61"/>
  <c r="AO141" i="61"/>
  <c r="AO142" i="61" s="1"/>
  <c r="AO144" i="61" s="1"/>
  <c r="AO149" i="61"/>
  <c r="AO150" i="61" s="1"/>
  <c r="AP105" i="61"/>
  <c r="AP106" i="61" s="1"/>
  <c r="AP76" i="61"/>
  <c r="AP89" i="61"/>
  <c r="AP77" i="61"/>
  <c r="AO155" i="61"/>
  <c r="AP90" i="61" l="1"/>
  <c r="AP93" i="61"/>
  <c r="AP158" i="61" s="1"/>
  <c r="AP92" i="61"/>
  <c r="AO153" i="61"/>
  <c r="AO154" i="61" s="1"/>
  <c r="AP109" i="61"/>
  <c r="AP107" i="61"/>
  <c r="AP111" i="61" l="1"/>
  <c r="AP136" i="61" s="1"/>
  <c r="AP138" i="61" s="1"/>
  <c r="AQ110" i="61"/>
  <c r="AP99" i="61"/>
  <c r="AP100" i="61" s="1"/>
  <c r="AP95" i="61"/>
  <c r="AP80" i="61"/>
  <c r="AP79" i="61" s="1"/>
  <c r="AO157" i="61"/>
  <c r="AQ114" i="61" l="1"/>
  <c r="AQ115" i="61" s="1"/>
  <c r="AQ112" i="61"/>
  <c r="AQ129" i="61"/>
  <c r="AQ118" i="61"/>
  <c r="AQ119" i="61"/>
  <c r="AQ113" i="61"/>
  <c r="AQ117" i="61" s="1"/>
  <c r="AP83" i="61"/>
  <c r="AP97" i="61"/>
  <c r="AP85" i="61"/>
  <c r="AP135" i="61" s="1"/>
  <c r="AP98" i="61" l="1"/>
  <c r="AP101" i="61"/>
  <c r="AP102" i="61" s="1"/>
  <c r="AQ123" i="61"/>
  <c r="AQ128" i="61" s="1"/>
  <c r="AQ74" i="61"/>
  <c r="AQ120" i="61"/>
  <c r="AP82" i="61"/>
  <c r="AP140" i="61" s="1"/>
  <c r="AP146" i="61" s="1"/>
  <c r="AP148" i="61" s="1"/>
  <c r="AP127" i="61"/>
  <c r="AP149" i="61" l="1"/>
  <c r="AP150" i="61" s="1"/>
  <c r="AP153" i="61" s="1"/>
  <c r="AP157" i="61" s="1"/>
  <c r="AP155" i="61"/>
  <c r="AQ126" i="61"/>
  <c r="AQ125" i="61"/>
  <c r="AQ132" i="61" s="1"/>
  <c r="AQ122" i="61"/>
  <c r="AP143" i="61"/>
  <c r="AQ77" i="61"/>
  <c r="AQ105" i="61"/>
  <c r="AQ106" i="61" s="1"/>
  <c r="AQ76" i="61"/>
  <c r="AQ89" i="61"/>
  <c r="AP141" i="61"/>
  <c r="AP142" i="61" s="1"/>
  <c r="AP144" i="61" s="1"/>
  <c r="AP154" i="61" l="1"/>
  <c r="AQ92" i="61"/>
  <c r="AQ93" i="61"/>
  <c r="AQ158" i="61" s="1"/>
  <c r="AQ90" i="61"/>
  <c r="AQ109" i="61"/>
  <c r="AQ107" i="61"/>
  <c r="AQ99" i="61" l="1"/>
  <c r="AQ100" i="61" s="1"/>
  <c r="AQ95" i="61"/>
  <c r="AQ80" i="61"/>
  <c r="AQ79" i="61" s="1"/>
  <c r="AQ111" i="61"/>
  <c r="AQ136" i="61" s="1"/>
  <c r="AQ138" i="61" s="1"/>
  <c r="AR110" i="61"/>
  <c r="AQ97" i="61" l="1"/>
  <c r="AQ83" i="61"/>
  <c r="AQ85" i="61"/>
  <c r="AQ135" i="61" s="1"/>
  <c r="AR119" i="61"/>
  <c r="AR113" i="61"/>
  <c r="AR117" i="61" s="1"/>
  <c r="AR112" i="61"/>
  <c r="AR118" i="61"/>
  <c r="AR129" i="61"/>
  <c r="AR114" i="61"/>
  <c r="AR115" i="61" s="1"/>
  <c r="AR74" i="61" l="1"/>
  <c r="AR123" i="61"/>
  <c r="AR128" i="61" s="1"/>
  <c r="AR120" i="61"/>
  <c r="AQ127" i="61"/>
  <c r="AQ82" i="61"/>
  <c r="AQ140" i="61" s="1"/>
  <c r="AQ146" i="61" s="1"/>
  <c r="AQ148" i="61" s="1"/>
  <c r="AQ101" i="61"/>
  <c r="AQ102" i="61" s="1"/>
  <c r="AQ98" i="61"/>
  <c r="AQ149" i="61" l="1"/>
  <c r="AQ150" i="61" s="1"/>
  <c r="AQ153" i="61" s="1"/>
  <c r="AQ157" i="61" s="1"/>
  <c r="AQ141" i="61"/>
  <c r="AQ142" i="61" s="1"/>
  <c r="AQ144" i="61" s="1"/>
  <c r="AR76" i="61"/>
  <c r="AR77" i="61"/>
  <c r="AR105" i="61"/>
  <c r="AR106" i="61" s="1"/>
  <c r="AR89" i="61"/>
  <c r="AQ143" i="61"/>
  <c r="AQ155" i="61"/>
  <c r="AR122" i="61"/>
  <c r="AR125" i="61"/>
  <c r="AR132" i="61" s="1"/>
  <c r="AR126" i="61"/>
  <c r="AQ154" i="61" l="1"/>
  <c r="AR109" i="61"/>
  <c r="AR107" i="61"/>
  <c r="AR90" i="61"/>
  <c r="AR92" i="61"/>
  <c r="AR93" i="61"/>
  <c r="AR158" i="61" s="1"/>
  <c r="AR99" i="61" l="1"/>
  <c r="AR100" i="61" s="1"/>
  <c r="AR95" i="61"/>
  <c r="AR80" i="61"/>
  <c r="AR79" i="61" s="1"/>
  <c r="AR111" i="61"/>
  <c r="AR136" i="61" s="1"/>
  <c r="AR138" i="61" s="1"/>
  <c r="AS110" i="61"/>
  <c r="AR83" i="61" l="1"/>
  <c r="AR85" i="61"/>
  <c r="AR135" i="61" s="1"/>
  <c r="AR97" i="61"/>
  <c r="AS119" i="61"/>
  <c r="AS118" i="61"/>
  <c r="AS113" i="61"/>
  <c r="AS117" i="61" s="1"/>
  <c r="AS114" i="61"/>
  <c r="AS115" i="61" s="1"/>
  <c r="AS112" i="61"/>
  <c r="AS129" i="61"/>
  <c r="AS123" i="61" l="1"/>
  <c r="AS128" i="61" s="1"/>
  <c r="AS74" i="61"/>
  <c r="AS120" i="61"/>
  <c r="AR98" i="61"/>
  <c r="AR101" i="61"/>
  <c r="AR102" i="61" s="1"/>
  <c r="AR127" i="61"/>
  <c r="AR82" i="61"/>
  <c r="AR140" i="61" s="1"/>
  <c r="AR146" i="61" s="1"/>
  <c r="AR148" i="61" s="1"/>
  <c r="AR143" i="61" l="1"/>
  <c r="AR155" i="61"/>
  <c r="AS126" i="61"/>
  <c r="AS125" i="61"/>
  <c r="AS132" i="61" s="1"/>
  <c r="AS122" i="61"/>
  <c r="AR141" i="61"/>
  <c r="AR142" i="61" s="1"/>
  <c r="AR144" i="61" s="1"/>
  <c r="AS77" i="61"/>
  <c r="AS89" i="61"/>
  <c r="AS76" i="61"/>
  <c r="AS105" i="61"/>
  <c r="AS106" i="61" s="1"/>
  <c r="AR149" i="61"/>
  <c r="AR150" i="61" s="1"/>
  <c r="AR153" i="61" s="1"/>
  <c r="AR154" i="61" s="1"/>
  <c r="AS109" i="61" l="1"/>
  <c r="AS107" i="61"/>
  <c r="AR157" i="61"/>
  <c r="AS93" i="61"/>
  <c r="AS158" i="61" s="1"/>
  <c r="AS90" i="61"/>
  <c r="AS92" i="61"/>
  <c r="AS95" i="61" l="1"/>
  <c r="AS99" i="61"/>
  <c r="AS100" i="61" s="1"/>
  <c r="AS80" i="61"/>
  <c r="AS79" i="61" s="1"/>
  <c r="AS111" i="61"/>
  <c r="AS136" i="61" s="1"/>
  <c r="AS138" i="61" s="1"/>
  <c r="AT110" i="61"/>
  <c r="AS85" i="61" l="1"/>
  <c r="AS135" i="61" s="1"/>
  <c r="AS83" i="61"/>
  <c r="AS97" i="61"/>
  <c r="AT113" i="61"/>
  <c r="AT117" i="61" s="1"/>
  <c r="AT119" i="61"/>
  <c r="AT114" i="61"/>
  <c r="AT115" i="61" s="1"/>
  <c r="AT129" i="61"/>
  <c r="AT112" i="61"/>
  <c r="AT118" i="61"/>
  <c r="AT120" i="61" l="1"/>
  <c r="AT74" i="61"/>
  <c r="AT123" i="61"/>
  <c r="AT128" i="61" s="1"/>
  <c r="AS82" i="61"/>
  <c r="AS140" i="61" s="1"/>
  <c r="AS146" i="61" s="1"/>
  <c r="AS148" i="61" s="1"/>
  <c r="AS127" i="61"/>
  <c r="AS101" i="61"/>
  <c r="AS102" i="61" s="1"/>
  <c r="AS98" i="61"/>
  <c r="AS155" i="61" l="1"/>
  <c r="AT126" i="61"/>
  <c r="AT122" i="61"/>
  <c r="AT125" i="61"/>
  <c r="AT132" i="61" s="1"/>
  <c r="AS149" i="61"/>
  <c r="AS150" i="61" s="1"/>
  <c r="AS153" i="61" s="1"/>
  <c r="AS154" i="61" s="1"/>
  <c r="AS143" i="61"/>
  <c r="AS141" i="61"/>
  <c r="AS142" i="61" s="1"/>
  <c r="AS144" i="61" s="1"/>
  <c r="AT105" i="61"/>
  <c r="AT106" i="61" s="1"/>
  <c r="AT89" i="61"/>
  <c r="AT76" i="61"/>
  <c r="AT77" i="61"/>
  <c r="AT109" i="61" l="1"/>
  <c r="AT107" i="61"/>
  <c r="AS157" i="61"/>
  <c r="AT92" i="61"/>
  <c r="AT90" i="61"/>
  <c r="AT93" i="61"/>
  <c r="AT158" i="61" s="1"/>
  <c r="AT99" i="61" l="1"/>
  <c r="AT100" i="61" s="1"/>
  <c r="AT95" i="61"/>
  <c r="AT80" i="61"/>
  <c r="AT79" i="61" s="1"/>
  <c r="AT111" i="61"/>
  <c r="AT136" i="61" s="1"/>
  <c r="AT138" i="61" s="1"/>
  <c r="AU110" i="61"/>
  <c r="AT85" i="61" l="1"/>
  <c r="AT135" i="61" s="1"/>
  <c r="AT83" i="61"/>
  <c r="AT97" i="61"/>
  <c r="AU118" i="61"/>
  <c r="AU112" i="61"/>
  <c r="AU114" i="61"/>
  <c r="AU115" i="61" s="1"/>
  <c r="AU113" i="61"/>
  <c r="AU117" i="61" s="1"/>
  <c r="AU119" i="61"/>
  <c r="AU129" i="61"/>
  <c r="AT82" i="61" l="1"/>
  <c r="AT140" i="61" s="1"/>
  <c r="AT146" i="61" s="1"/>
  <c r="AT148" i="61" s="1"/>
  <c r="AT127" i="61"/>
  <c r="AU120" i="61"/>
  <c r="AU74" i="61"/>
  <c r="AU123" i="61"/>
  <c r="AU128" i="61" s="1"/>
  <c r="AT98" i="61"/>
  <c r="AT101" i="61"/>
  <c r="AT102" i="61" s="1"/>
  <c r="AT149" i="61" l="1"/>
  <c r="AT150" i="61" s="1"/>
  <c r="AT153" i="61" s="1"/>
  <c r="AT157" i="61" s="1"/>
  <c r="AT143" i="61"/>
  <c r="AT155" i="61"/>
  <c r="AU89" i="61"/>
  <c r="AU77" i="61"/>
  <c r="AU76" i="61"/>
  <c r="AU105" i="61"/>
  <c r="AU106" i="61" s="1"/>
  <c r="AU126" i="61"/>
  <c r="AU125" i="61"/>
  <c r="AU132" i="61" s="1"/>
  <c r="AU122" i="61"/>
  <c r="AT141" i="61"/>
  <c r="AT142" i="61" s="1"/>
  <c r="AT144" i="61" s="1"/>
  <c r="AT154" i="61" l="1"/>
  <c r="AU93" i="61"/>
  <c r="AU158" i="61" s="1"/>
  <c r="AU90" i="61"/>
  <c r="AU92" i="61"/>
  <c r="AU109" i="61"/>
  <c r="AU107" i="61"/>
  <c r="AU95" i="61" l="1"/>
  <c r="AU99" i="61"/>
  <c r="AU100" i="61" s="1"/>
  <c r="AU80" i="61"/>
  <c r="AU111" i="61"/>
  <c r="AU136" i="61" s="1"/>
  <c r="AU138" i="61" s="1"/>
  <c r="AV110" i="61"/>
  <c r="AU79" i="61" l="1"/>
  <c r="AU85" i="61"/>
  <c r="AU135" i="61" s="1"/>
  <c r="AU83" i="61"/>
  <c r="AU97" i="61"/>
  <c r="AV119" i="61"/>
  <c r="AV118" i="61"/>
  <c r="AV113" i="61"/>
  <c r="AV117" i="61" s="1"/>
  <c r="AV112" i="61"/>
  <c r="AV114" i="61"/>
  <c r="AV115" i="61" s="1"/>
  <c r="AV129" i="61"/>
  <c r="AU127" i="61" l="1"/>
  <c r="AU82" i="61"/>
  <c r="AU140" i="61" s="1"/>
  <c r="AU146" i="61" s="1"/>
  <c r="AU148" i="61" s="1"/>
  <c r="AU98" i="61"/>
  <c r="AU101" i="61"/>
  <c r="AU102" i="61" s="1"/>
  <c r="AV74" i="61"/>
  <c r="AV123" i="61"/>
  <c r="AV128" i="61" s="1"/>
  <c r="AV120" i="61"/>
  <c r="AU155" i="61" l="1"/>
  <c r="AU143" i="61"/>
  <c r="AU141" i="61"/>
  <c r="AU142" i="61" s="1"/>
  <c r="AU144" i="61" s="1"/>
  <c r="AV76" i="61"/>
  <c r="AV77" i="61"/>
  <c r="AV105" i="61"/>
  <c r="AV106" i="61" s="1"/>
  <c r="AV89" i="61"/>
  <c r="AU149" i="61"/>
  <c r="AU150" i="61" s="1"/>
  <c r="AU153" i="61" s="1"/>
  <c r="AU154" i="61" s="1"/>
  <c r="AV122" i="61"/>
  <c r="AV126" i="61"/>
  <c r="AV125" i="61"/>
  <c r="AV132" i="61" s="1"/>
  <c r="AV93" i="61" l="1"/>
  <c r="AV158" i="61" s="1"/>
  <c r="AV92" i="61"/>
  <c r="AV90" i="61"/>
  <c r="AV109" i="61"/>
  <c r="AV107" i="61"/>
  <c r="AU157" i="61"/>
  <c r="AV111" i="61" l="1"/>
  <c r="AV136" i="61" s="1"/>
  <c r="AV138" i="61" s="1"/>
  <c r="AW110" i="61"/>
  <c r="AV99" i="61"/>
  <c r="AV100" i="61" s="1"/>
  <c r="AV95" i="61"/>
  <c r="AV80" i="61"/>
  <c r="AV79" i="61" l="1"/>
  <c r="AV83" i="61"/>
  <c r="AV85" i="61"/>
  <c r="AV135" i="61" s="1"/>
  <c r="AV97" i="61"/>
  <c r="AW119" i="61"/>
  <c r="AW113" i="61"/>
  <c r="AW117" i="61" s="1"/>
  <c r="AW112" i="61"/>
  <c r="AW118" i="61"/>
  <c r="AW114" i="61"/>
  <c r="AW115" i="61" s="1"/>
  <c r="AW129" i="61"/>
  <c r="AV82" i="61" l="1"/>
  <c r="AV140" i="61" s="1"/>
  <c r="AV146" i="61" s="1"/>
  <c r="AV148" i="61" s="1"/>
  <c r="AV127" i="61"/>
  <c r="AW74" i="61"/>
  <c r="AW120" i="61"/>
  <c r="AW123" i="61"/>
  <c r="AW128" i="61" s="1"/>
  <c r="AV101" i="61"/>
  <c r="AV102" i="61" s="1"/>
  <c r="AV98" i="61"/>
  <c r="AV149" i="61" l="1"/>
  <c r="AV150" i="61" s="1"/>
  <c r="AV153" i="61" s="1"/>
  <c r="AV157" i="61" s="1"/>
  <c r="AV143" i="61"/>
  <c r="AW105" i="61"/>
  <c r="AW106" i="61" s="1"/>
  <c r="AW89" i="61"/>
  <c r="AW77" i="61"/>
  <c r="AW76" i="61"/>
  <c r="AV141" i="61"/>
  <c r="AV142" i="61" s="1"/>
  <c r="AV144" i="61" s="1"/>
  <c r="AV155" i="61"/>
  <c r="AW126" i="61"/>
  <c r="AW122" i="61"/>
  <c r="AW125" i="61"/>
  <c r="AW132" i="61" s="1"/>
  <c r="AV154" i="61" l="1"/>
  <c r="AW109" i="61"/>
  <c r="AW107" i="61"/>
  <c r="AW90" i="61"/>
  <c r="AW92" i="61"/>
  <c r="AW93" i="61"/>
  <c r="AW158" i="61" s="1"/>
  <c r="AW95" i="61" l="1"/>
  <c r="AW99" i="61"/>
  <c r="AW100" i="61" s="1"/>
  <c r="AW80" i="61"/>
  <c r="AW79" i="61" s="1"/>
  <c r="AW111" i="61"/>
  <c r="AW136" i="61" s="1"/>
  <c r="AW138" i="61" s="1"/>
  <c r="AX110" i="61"/>
  <c r="AX129" i="61" l="1"/>
  <c r="AX118" i="61"/>
  <c r="AX119" i="61"/>
  <c r="AX112" i="61"/>
  <c r="AX114" i="61"/>
  <c r="AX115" i="61" s="1"/>
  <c r="AX113" i="61"/>
  <c r="AX117" i="61" s="1"/>
  <c r="AW97" i="61"/>
  <c r="AW83" i="61"/>
  <c r="AW85" i="61"/>
  <c r="AW135" i="61" s="1"/>
  <c r="AW82" i="61" l="1"/>
  <c r="AW140" i="61" s="1"/>
  <c r="AW146" i="61" s="1"/>
  <c r="AW148" i="61" s="1"/>
  <c r="AW127" i="61"/>
  <c r="AW101" i="61"/>
  <c r="AW102" i="61" s="1"/>
  <c r="AW98" i="61"/>
  <c r="AX74" i="61"/>
  <c r="AX123" i="61"/>
  <c r="AX128" i="61" s="1"/>
  <c r="AX120" i="61"/>
  <c r="AW141" i="61" l="1"/>
  <c r="AW142" i="61" s="1"/>
  <c r="AW144" i="61" s="1"/>
  <c r="AW149" i="61"/>
  <c r="AW150" i="61" s="1"/>
  <c r="AW153" i="61" s="1"/>
  <c r="AW154" i="61" s="1"/>
  <c r="AW143" i="61"/>
  <c r="AX122" i="61"/>
  <c r="AX126" i="61"/>
  <c r="AX125" i="61"/>
  <c r="AX132" i="61" s="1"/>
  <c r="AX76" i="61"/>
  <c r="AX105" i="61"/>
  <c r="AX106" i="61" s="1"/>
  <c r="AX77" i="61"/>
  <c r="AX89" i="61"/>
  <c r="AW155" i="61"/>
  <c r="AW157" i="61" l="1"/>
  <c r="AX109" i="61"/>
  <c r="AX107" i="61"/>
  <c r="AX92" i="61"/>
  <c r="AX93" i="61"/>
  <c r="AX158" i="61" s="1"/>
  <c r="AX90" i="61"/>
  <c r="AX95" i="61" l="1"/>
  <c r="AX99" i="61"/>
  <c r="AX100" i="61" s="1"/>
  <c r="AX80" i="61"/>
  <c r="AX111" i="61"/>
  <c r="AX136" i="61" s="1"/>
  <c r="AX138" i="61" s="1"/>
  <c r="AY110" i="61"/>
  <c r="AY119" i="61" l="1"/>
  <c r="AY113" i="61"/>
  <c r="AY117" i="61" s="1"/>
  <c r="AY129" i="61"/>
  <c r="AY118" i="61"/>
  <c r="AY112" i="61"/>
  <c r="AY114" i="61"/>
  <c r="AY115" i="61" s="1"/>
  <c r="AX79" i="61"/>
  <c r="AX83" i="61"/>
  <c r="AX97" i="61"/>
  <c r="AX85" i="61"/>
  <c r="AX135" i="61" s="1"/>
  <c r="AX82" i="61" l="1"/>
  <c r="AX140" i="61" s="1"/>
  <c r="AX146" i="61" s="1"/>
  <c r="AX148" i="61" s="1"/>
  <c r="AX127" i="61"/>
  <c r="AY123" i="61"/>
  <c r="AY128" i="61" s="1"/>
  <c r="AY74" i="61"/>
  <c r="AY120" i="61"/>
  <c r="AX98" i="61"/>
  <c r="AX101" i="61"/>
  <c r="AX102" i="61" s="1"/>
  <c r="AX141" i="61" l="1"/>
  <c r="AX142" i="61" s="1"/>
  <c r="AX144" i="61" s="1"/>
  <c r="AX149" i="61"/>
  <c r="AX150" i="61" s="1"/>
  <c r="AX153" i="61" s="1"/>
  <c r="AX154" i="61" s="1"/>
  <c r="AX143" i="61"/>
  <c r="AY122" i="61"/>
  <c r="AY125" i="61"/>
  <c r="AY132" i="61" s="1"/>
  <c r="AY126" i="61"/>
  <c r="AX155" i="61"/>
  <c r="AY76" i="61"/>
  <c r="AY105" i="61"/>
  <c r="AY106" i="61" s="1"/>
  <c r="AY89" i="61"/>
  <c r="AY77" i="61"/>
  <c r="AX157" i="61" l="1"/>
  <c r="AY93" i="61"/>
  <c r="AY158" i="61" s="1"/>
  <c r="AY90" i="61"/>
  <c r="AY92" i="61"/>
  <c r="AY109" i="61"/>
  <c r="AY107" i="61"/>
  <c r="AY95" i="61" l="1"/>
  <c r="AY99" i="61"/>
  <c r="AY100" i="61" s="1"/>
  <c r="AY80" i="61"/>
  <c r="AY79" i="61" s="1"/>
  <c r="AY111" i="61"/>
  <c r="AY136" i="61" s="1"/>
  <c r="AY138" i="61" s="1"/>
  <c r="AZ110" i="61"/>
  <c r="AY97" i="61" l="1"/>
  <c r="AY85" i="61"/>
  <c r="AY135" i="61" s="1"/>
  <c r="AY83" i="61"/>
  <c r="AZ113" i="61"/>
  <c r="AZ117" i="61" s="1"/>
  <c r="AZ112" i="61"/>
  <c r="AZ119" i="61"/>
  <c r="AZ118" i="61"/>
  <c r="AZ129" i="61"/>
  <c r="AZ114" i="61"/>
  <c r="AZ115" i="61" s="1"/>
  <c r="AY101" i="61" l="1"/>
  <c r="AY102" i="61" s="1"/>
  <c r="AY98" i="61"/>
  <c r="AZ120" i="61"/>
  <c r="AZ123" i="61"/>
  <c r="AZ128" i="61" s="1"/>
  <c r="AZ74" i="61"/>
  <c r="AY82" i="61"/>
  <c r="AY140" i="61" s="1"/>
  <c r="AY146" i="61" s="1"/>
  <c r="AY148" i="61" s="1"/>
  <c r="AY127" i="61"/>
  <c r="AY149" i="61" l="1"/>
  <c r="AY150" i="61" s="1"/>
  <c r="AY153" i="61" s="1"/>
  <c r="AY154" i="61" s="1"/>
  <c r="AY143" i="61"/>
  <c r="AY141" i="61"/>
  <c r="AY142" i="61" s="1"/>
  <c r="AY144" i="61" s="1"/>
  <c r="AZ125" i="61"/>
  <c r="AZ132" i="61" s="1"/>
  <c r="AZ126" i="61"/>
  <c r="AZ122" i="61"/>
  <c r="AY155" i="61"/>
  <c r="AZ77" i="61"/>
  <c r="AZ105" i="61"/>
  <c r="AZ106" i="61" s="1"/>
  <c r="AZ76" i="61"/>
  <c r="AZ89" i="61"/>
  <c r="AY157" i="61" l="1"/>
  <c r="AZ109" i="61"/>
  <c r="AZ107" i="61"/>
  <c r="AZ92" i="61"/>
  <c r="AZ93" i="61"/>
  <c r="AZ158" i="61" s="1"/>
  <c r="AZ90" i="61"/>
  <c r="AZ99" i="61" l="1"/>
  <c r="AZ100" i="61" s="1"/>
  <c r="AZ95" i="61"/>
  <c r="AZ80" i="61"/>
  <c r="AZ79" i="61" s="1"/>
  <c r="AZ111" i="61"/>
  <c r="AZ136" i="61" s="1"/>
  <c r="AZ138" i="61" s="1"/>
  <c r="BA110" i="61"/>
  <c r="BA112" i="61" l="1"/>
  <c r="BA119" i="61"/>
  <c r="BA129" i="61"/>
  <c r="BA113" i="61"/>
  <c r="BA117" i="61" s="1"/>
  <c r="BA118" i="61"/>
  <c r="BA114" i="61"/>
  <c r="BA115" i="61" s="1"/>
  <c r="AZ97" i="61"/>
  <c r="AZ83" i="61"/>
  <c r="AZ85" i="61"/>
  <c r="AZ135" i="61" s="1"/>
  <c r="AZ82" i="61" l="1"/>
  <c r="AZ140" i="61" s="1"/>
  <c r="AZ146" i="61" s="1"/>
  <c r="AZ148" i="61" s="1"/>
  <c r="AZ127" i="61"/>
  <c r="AZ101" i="61"/>
  <c r="AZ102" i="61" s="1"/>
  <c r="AZ98" i="61"/>
  <c r="BA123" i="61"/>
  <c r="BA128" i="61" s="1"/>
  <c r="BA120" i="61"/>
  <c r="BA74" i="61"/>
  <c r="AZ149" i="61" l="1"/>
  <c r="AZ150" i="61" s="1"/>
  <c r="AZ153" i="61" s="1"/>
  <c r="AZ154" i="61" s="1"/>
  <c r="AZ141" i="61"/>
  <c r="AZ142" i="61" s="1"/>
  <c r="AZ144" i="61" s="1"/>
  <c r="BA126" i="61"/>
  <c r="BA122" i="61"/>
  <c r="BA125" i="61"/>
  <c r="BA132" i="61" s="1"/>
  <c r="AZ155" i="61"/>
  <c r="AZ143" i="61"/>
  <c r="AZ157" i="61"/>
  <c r="BA77" i="61"/>
  <c r="BA76" i="61"/>
  <c r="BA105" i="61"/>
  <c r="BA106" i="61" s="1"/>
  <c r="BA89" i="61"/>
  <c r="BA93" i="61" l="1"/>
  <c r="BA158" i="61" s="1"/>
  <c r="BA90" i="61"/>
  <c r="BA92" i="61"/>
  <c r="BA109" i="61"/>
  <c r="BA107" i="61"/>
  <c r="BA99" i="61" l="1"/>
  <c r="BA100" i="61" s="1"/>
  <c r="BA95" i="61"/>
  <c r="BA80" i="61"/>
  <c r="BA111" i="61"/>
  <c r="BA136" i="61" s="1"/>
  <c r="BA138" i="61" s="1"/>
  <c r="BB110" i="61"/>
  <c r="BA79" i="61" l="1"/>
  <c r="BA85" i="61"/>
  <c r="BA135" i="61" s="1"/>
  <c r="BA83" i="61"/>
  <c r="BA97" i="61"/>
  <c r="BB112" i="61"/>
  <c r="BB114" i="61"/>
  <c r="BB115" i="61" s="1"/>
  <c r="BB129" i="61"/>
  <c r="BB119" i="61"/>
  <c r="BB118" i="61"/>
  <c r="BB113" i="61"/>
  <c r="BB117" i="61" s="1"/>
  <c r="BA101" i="61" l="1"/>
  <c r="BA102" i="61" s="1"/>
  <c r="BA98" i="61"/>
  <c r="BA82" i="61"/>
  <c r="BA140" i="61" s="1"/>
  <c r="BA146" i="61" s="1"/>
  <c r="BA148" i="61" s="1"/>
  <c r="BA127" i="61"/>
  <c r="BB123" i="61"/>
  <c r="BB128" i="61" s="1"/>
  <c r="BB120" i="61"/>
  <c r="BB74" i="61"/>
  <c r="BA143" i="61" l="1"/>
  <c r="BA149" i="61"/>
  <c r="BA150" i="61" s="1"/>
  <c r="BB76" i="61"/>
  <c r="BB105" i="61"/>
  <c r="BB106" i="61" s="1"/>
  <c r="BB77" i="61"/>
  <c r="BB89" i="61"/>
  <c r="BA155" i="61"/>
  <c r="BB122" i="61"/>
  <c r="BB126" i="61"/>
  <c r="BB125" i="61"/>
  <c r="BB132" i="61" s="1"/>
  <c r="BA141" i="61"/>
  <c r="BA142" i="61" s="1"/>
  <c r="BA144" i="61" s="1"/>
  <c r="BB92" i="61" l="1"/>
  <c r="BB93" i="61"/>
  <c r="BB158" i="61" s="1"/>
  <c r="BB90" i="61"/>
  <c r="BB109" i="61"/>
  <c r="BB107" i="61"/>
  <c r="BA153" i="61"/>
  <c r="BA154" i="61" s="1"/>
  <c r="BB99" i="61" l="1"/>
  <c r="BB100" i="61" s="1"/>
  <c r="BB95" i="61"/>
  <c r="BB80" i="61"/>
  <c r="BA157" i="61"/>
  <c r="BB111" i="61"/>
  <c r="BB136" i="61" s="1"/>
  <c r="BB138" i="61" s="1"/>
  <c r="BC110" i="61"/>
  <c r="BB79" i="61" l="1"/>
  <c r="BB85" i="61"/>
  <c r="BB135" i="61" s="1"/>
  <c r="BB83" i="61"/>
  <c r="BB97" i="61"/>
  <c r="BC113" i="61"/>
  <c r="BC117" i="61" s="1"/>
  <c r="BC119" i="61"/>
  <c r="BC118" i="61"/>
  <c r="BC129" i="61"/>
  <c r="BC114" i="61"/>
  <c r="BC115" i="61" s="1"/>
  <c r="BC112" i="61"/>
  <c r="BC120" i="61" l="1"/>
  <c r="BC123" i="61"/>
  <c r="BC128" i="61" s="1"/>
  <c r="BC74" i="61"/>
  <c r="BB82" i="61"/>
  <c r="BB140" i="61" s="1"/>
  <c r="BB146" i="61" s="1"/>
  <c r="BB148" i="61" s="1"/>
  <c r="BB127" i="61"/>
  <c r="BB98" i="61"/>
  <c r="BB101" i="61"/>
  <c r="BB102" i="61" s="1"/>
  <c r="BB141" i="61" l="1"/>
  <c r="BB142" i="61" s="1"/>
  <c r="BB144" i="61" s="1"/>
  <c r="BC105" i="61"/>
  <c r="BC106" i="61" s="1"/>
  <c r="BC77" i="61"/>
  <c r="BC76" i="61"/>
  <c r="BC89" i="61"/>
  <c r="BB143" i="61"/>
  <c r="BB149" i="61"/>
  <c r="BB150" i="61" s="1"/>
  <c r="BB153" i="61" s="1"/>
  <c r="BB154" i="61" s="1"/>
  <c r="BB155" i="61"/>
  <c r="BC126" i="61"/>
  <c r="BC125" i="61"/>
  <c r="BC132" i="61" s="1"/>
  <c r="BC122" i="61"/>
  <c r="BC93" i="61" l="1"/>
  <c r="BC158" i="61" s="1"/>
  <c r="BC90" i="61"/>
  <c r="BC92" i="61"/>
  <c r="BB157" i="61"/>
  <c r="BC109" i="61"/>
  <c r="BC107" i="61"/>
  <c r="BC111" i="61" l="1"/>
  <c r="BC136" i="61" s="1"/>
  <c r="BC138" i="61" s="1"/>
  <c r="BD110" i="61"/>
  <c r="BC95" i="61"/>
  <c r="BC99" i="61"/>
  <c r="BC100" i="61" s="1"/>
  <c r="BC80" i="61"/>
  <c r="BD112" i="61" l="1"/>
  <c r="BD113" i="61"/>
  <c r="BD117" i="61" s="1"/>
  <c r="BD118" i="61"/>
  <c r="BD129" i="61"/>
  <c r="BD119" i="61"/>
  <c r="BD114" i="61"/>
  <c r="BD115" i="61" s="1"/>
  <c r="BC79" i="61"/>
  <c r="BC85" i="61"/>
  <c r="BC135" i="61" s="1"/>
  <c r="BC83" i="61"/>
  <c r="BC97" i="61"/>
  <c r="BD120" i="61" l="1"/>
  <c r="BD74" i="61"/>
  <c r="BD123" i="61"/>
  <c r="BD128" i="61" s="1"/>
  <c r="BC127" i="61"/>
  <c r="BC82" i="61"/>
  <c r="BC140" i="61" s="1"/>
  <c r="BC146" i="61" s="1"/>
  <c r="BC148" i="61" s="1"/>
  <c r="BC98" i="61"/>
  <c r="BC101" i="61"/>
  <c r="BC102" i="61" s="1"/>
  <c r="BC143" i="61" l="1"/>
  <c r="BC141" i="61"/>
  <c r="BC142" i="61" s="1"/>
  <c r="BC144" i="61" s="1"/>
  <c r="BD125" i="61"/>
  <c r="BD132" i="61" s="1"/>
  <c r="BD122" i="61"/>
  <c r="BD126" i="61"/>
  <c r="BC155" i="61"/>
  <c r="BC149" i="61"/>
  <c r="BC150" i="61" s="1"/>
  <c r="BD89" i="61"/>
  <c r="BD76" i="61"/>
  <c r="BD105" i="61"/>
  <c r="BD106" i="61" s="1"/>
  <c r="BD77" i="61"/>
  <c r="BD109" i="61" l="1"/>
  <c r="BD107" i="61"/>
  <c r="BC153" i="61"/>
  <c r="BC154" i="61" s="1"/>
  <c r="BD92" i="61"/>
  <c r="BD90" i="61"/>
  <c r="BD93" i="61"/>
  <c r="BD158" i="61" s="1"/>
  <c r="BD111" i="61" l="1"/>
  <c r="BD136" i="61" s="1"/>
  <c r="BD138" i="61" s="1"/>
  <c r="BE110" i="61"/>
  <c r="BD95" i="61"/>
  <c r="BD99" i="61"/>
  <c r="BD100" i="61" s="1"/>
  <c r="BD80" i="61"/>
  <c r="BC157" i="61"/>
  <c r="BE112" i="61" l="1"/>
  <c r="BE119" i="61"/>
  <c r="BE118" i="61"/>
  <c r="BE129" i="61"/>
  <c r="BE113" i="61"/>
  <c r="BE117" i="61" s="1"/>
  <c r="BE114" i="61"/>
  <c r="BE115" i="61" s="1"/>
  <c r="BD79" i="61"/>
  <c r="BD83" i="61"/>
  <c r="BD97" i="61"/>
  <c r="BD85" i="61"/>
  <c r="BD135" i="61" s="1"/>
  <c r="BE123" i="61" l="1"/>
  <c r="BE128" i="61" s="1"/>
  <c r="BE74" i="61"/>
  <c r="BE120" i="61"/>
  <c r="BD98" i="61"/>
  <c r="BD101" i="61"/>
  <c r="BD102" i="61" s="1"/>
  <c r="BD127" i="61"/>
  <c r="BD82" i="61"/>
  <c r="BD140" i="61" s="1"/>
  <c r="BD146" i="61" s="1"/>
  <c r="BD148" i="61" s="1"/>
  <c r="BD141" i="61" l="1"/>
  <c r="BD142" i="61" s="1"/>
  <c r="BD144" i="61" s="1"/>
  <c r="BD149" i="61"/>
  <c r="BD150" i="61" s="1"/>
  <c r="BD153" i="61" s="1"/>
  <c r="BD154" i="61" s="1"/>
  <c r="BE89" i="61"/>
  <c r="BE76" i="61"/>
  <c r="BE105" i="61"/>
  <c r="BE106" i="61" s="1"/>
  <c r="BE77" i="61"/>
  <c r="BD155" i="61"/>
  <c r="BD143" i="61"/>
  <c r="BE125" i="61"/>
  <c r="BE132" i="61" s="1"/>
  <c r="BE122" i="61"/>
  <c r="BE126" i="61"/>
  <c r="BD157" i="61" l="1"/>
  <c r="BE93" i="61"/>
  <c r="BE158" i="61" s="1"/>
  <c r="BE90" i="61"/>
  <c r="BE92" i="61"/>
  <c r="BE109" i="61"/>
  <c r="BE107" i="61"/>
  <c r="BE111" i="61" l="1"/>
  <c r="BE136" i="61" s="1"/>
  <c r="BE138" i="61" s="1"/>
  <c r="BF110" i="61"/>
  <c r="BE95" i="61"/>
  <c r="BE99" i="61"/>
  <c r="BE100" i="61" s="1"/>
  <c r="BE80" i="61"/>
  <c r="BE97" i="61" l="1"/>
  <c r="BE83" i="61"/>
  <c r="BE85" i="61"/>
  <c r="BE135" i="61" s="1"/>
  <c r="BF112" i="61"/>
  <c r="BF118" i="61"/>
  <c r="BF119" i="61"/>
  <c r="BF114" i="61"/>
  <c r="BF115" i="61" s="1"/>
  <c r="BF113" i="61"/>
  <c r="BF117" i="61" s="1"/>
  <c r="BF129" i="61"/>
  <c r="BE79" i="61"/>
  <c r="BE82" i="61" l="1"/>
  <c r="BE140" i="61" s="1"/>
  <c r="BE146" i="61" s="1"/>
  <c r="BE148" i="61" s="1"/>
  <c r="BE127" i="61"/>
  <c r="BF123" i="61"/>
  <c r="BF128" i="61" s="1"/>
  <c r="BF74" i="61"/>
  <c r="BF120" i="61"/>
  <c r="BE98" i="61"/>
  <c r="BE101" i="61"/>
  <c r="BE102" i="61" s="1"/>
  <c r="BE149" i="61" l="1"/>
  <c r="BE150" i="61" s="1"/>
  <c r="BE153" i="61" s="1"/>
  <c r="BE154" i="61" s="1"/>
  <c r="BE155" i="61"/>
  <c r="BF105" i="61"/>
  <c r="BF106" i="61" s="1"/>
  <c r="BF89" i="61"/>
  <c r="BF77" i="61"/>
  <c r="BF76" i="61"/>
  <c r="BF125" i="61"/>
  <c r="BF132" i="61" s="1"/>
  <c r="BF122" i="61"/>
  <c r="BF126" i="61"/>
  <c r="BE143" i="61"/>
  <c r="BE141" i="61"/>
  <c r="BE142" i="61" s="1"/>
  <c r="BE144" i="61" s="1"/>
  <c r="BE157" i="61" l="1"/>
  <c r="BF92" i="61"/>
  <c r="BF93" i="61"/>
  <c r="BF158" i="61" s="1"/>
  <c r="BF90" i="61"/>
  <c r="BF109" i="61"/>
  <c r="BF107" i="61"/>
  <c r="BF95" i="61" l="1"/>
  <c r="BF99" i="61"/>
  <c r="BF100" i="61" s="1"/>
  <c r="BF80" i="61"/>
  <c r="BF111" i="61"/>
  <c r="BF136" i="61" s="1"/>
  <c r="BF138" i="61" s="1"/>
  <c r="BG110" i="61"/>
  <c r="BG118" i="61" l="1"/>
  <c r="BG129" i="61"/>
  <c r="BG113" i="61"/>
  <c r="BG117" i="61" s="1"/>
  <c r="BG119" i="61"/>
  <c r="BG114" i="61"/>
  <c r="BG115" i="61" s="1"/>
  <c r="BG112" i="61"/>
  <c r="BF79" i="61"/>
  <c r="BF85" i="61"/>
  <c r="BF135" i="61" s="1"/>
  <c r="BF83" i="61"/>
  <c r="BF97" i="61"/>
  <c r="BF101" i="61" l="1"/>
  <c r="BF102" i="61" s="1"/>
  <c r="BF98" i="61"/>
  <c r="BF82" i="61"/>
  <c r="BF140" i="61" s="1"/>
  <c r="BF146" i="61" s="1"/>
  <c r="BF148" i="61" s="1"/>
  <c r="BF127" i="61"/>
  <c r="BG120" i="61"/>
  <c r="BG123" i="61"/>
  <c r="BG128" i="61" s="1"/>
  <c r="BG74" i="61"/>
  <c r="BF149" i="61" l="1"/>
  <c r="BF150" i="61" s="1"/>
  <c r="BF153" i="61" s="1"/>
  <c r="BF154" i="61" s="1"/>
  <c r="BG105" i="61"/>
  <c r="BG106" i="61" s="1"/>
  <c r="BG89" i="61"/>
  <c r="BG77" i="61"/>
  <c r="BG76" i="61"/>
  <c r="BF141" i="61"/>
  <c r="BF142" i="61" s="1"/>
  <c r="BF144" i="61" s="1"/>
  <c r="BG122" i="61"/>
  <c r="BG126" i="61"/>
  <c r="BG125" i="61"/>
  <c r="BG132" i="61" s="1"/>
  <c r="BF155" i="61"/>
  <c r="BF143" i="61"/>
  <c r="BF157" i="61" l="1"/>
  <c r="BG93" i="61"/>
  <c r="BG158" i="61" s="1"/>
  <c r="BG90" i="61"/>
  <c r="BG92" i="61"/>
  <c r="BG109" i="61"/>
  <c r="BG107" i="61"/>
  <c r="BG95" i="61" l="1"/>
  <c r="BG99" i="61"/>
  <c r="BG100" i="61" s="1"/>
  <c r="BG80" i="61"/>
  <c r="BG111" i="61"/>
  <c r="BG136" i="61" s="1"/>
  <c r="BG138" i="61" s="1"/>
  <c r="BH110" i="61"/>
  <c r="BH129" i="61" l="1"/>
  <c r="BH112" i="61"/>
  <c r="BH119" i="61"/>
  <c r="BH114" i="61"/>
  <c r="BH115" i="61" s="1"/>
  <c r="BH118" i="61"/>
  <c r="BH113" i="61"/>
  <c r="BH117" i="61" s="1"/>
  <c r="BG79" i="61"/>
  <c r="BG97" i="61"/>
  <c r="BG83" i="61"/>
  <c r="BG85" i="61"/>
  <c r="BG135" i="61" s="1"/>
  <c r="BG82" i="61" l="1"/>
  <c r="BG140" i="61" s="1"/>
  <c r="BG146" i="61" s="1"/>
  <c r="BG148" i="61" s="1"/>
  <c r="BG127" i="61"/>
  <c r="BH74" i="61"/>
  <c r="BH123" i="61"/>
  <c r="BH128" i="61" s="1"/>
  <c r="BH120" i="61"/>
  <c r="BG101" i="61"/>
  <c r="BG102" i="61" s="1"/>
  <c r="BG98" i="61"/>
  <c r="BG155" i="61" l="1"/>
  <c r="BG143" i="61"/>
  <c r="BH122" i="61"/>
  <c r="BH126" i="61"/>
  <c r="BH125" i="61"/>
  <c r="BH132" i="61" s="1"/>
  <c r="BG141" i="61"/>
  <c r="BG142" i="61" s="1"/>
  <c r="BG144" i="61" s="1"/>
  <c r="BG149" i="61"/>
  <c r="BG150" i="61" s="1"/>
  <c r="BH76" i="61"/>
  <c r="BH105" i="61"/>
  <c r="BH106" i="61" s="1"/>
  <c r="BH89" i="61"/>
  <c r="BH77" i="61"/>
  <c r="BH109" i="61" l="1"/>
  <c r="BH111" i="61" s="1"/>
  <c r="BH136" i="61" s="1"/>
  <c r="BH138" i="61" s="1"/>
  <c r="BH107" i="61"/>
  <c r="BG153" i="61"/>
  <c r="BG154" i="61" s="1"/>
  <c r="BH93" i="61"/>
  <c r="BH158" i="61" s="1"/>
  <c r="BH92" i="61"/>
  <c r="BH90" i="61"/>
  <c r="BH95" i="61" l="1"/>
  <c r="BH99" i="61"/>
  <c r="BH100" i="61" s="1"/>
  <c r="BH80" i="61"/>
  <c r="BH79" i="61" s="1"/>
  <c r="BG157" i="61"/>
  <c r="BH83" i="61" l="1"/>
  <c r="BH97" i="61"/>
  <c r="BH85" i="61"/>
  <c r="BH135" i="61" s="1"/>
  <c r="BH101" i="61" l="1"/>
  <c r="BH102" i="61" s="1"/>
  <c r="BH98" i="61"/>
  <c r="BH127" i="61"/>
  <c r="BH82" i="61"/>
  <c r="BH140" i="61" s="1"/>
  <c r="BH146" i="61" s="1"/>
  <c r="BH148" i="61" s="1"/>
  <c r="BH143" i="61" l="1"/>
  <c r="BH149" i="61"/>
  <c r="BH150" i="61" s="1"/>
  <c r="BH153" i="61" s="1"/>
  <c r="BH154" i="61" s="1"/>
  <c r="BH155" i="61"/>
  <c r="BH141" i="61"/>
  <c r="BH142" i="61" s="1"/>
  <c r="BH144" i="61" s="1"/>
  <c r="BH157" i="61" l="1"/>
  <c r="AY58" i="60" l="1"/>
  <c r="AY57" i="60"/>
  <c r="BF57" i="60"/>
  <c r="BF58" i="60"/>
  <c r="AW57" i="60"/>
  <c r="AW58" i="60"/>
  <c r="AP57" i="60"/>
  <c r="AP58" i="60"/>
  <c r="AQ57" i="60"/>
  <c r="AQ58" i="60"/>
  <c r="AX58" i="60"/>
  <c r="AX57" i="60"/>
  <c r="AR58" i="60"/>
  <c r="AR57" i="60"/>
  <c r="AO57" i="60"/>
  <c r="AO58" i="60"/>
  <c r="AU58" i="60"/>
  <c r="AU57" i="60"/>
  <c r="BE58" i="60"/>
  <c r="BE57" i="60"/>
  <c r="BD58" i="60"/>
  <c r="BD57" i="60"/>
  <c r="AM58" i="60"/>
  <c r="AM57" i="60"/>
  <c r="AN57" i="60"/>
  <c r="AN58" i="60"/>
  <c r="BC57" i="60"/>
  <c r="BC58" i="60"/>
  <c r="BA58" i="60"/>
  <c r="BA57" i="60"/>
  <c r="AP60" i="60"/>
  <c r="AP96" i="60" s="1"/>
  <c r="AZ58" i="60"/>
  <c r="AZ57" i="60"/>
  <c r="AT58" i="60"/>
  <c r="AT57" i="60"/>
  <c r="BH58" i="60"/>
  <c r="BH57" i="60"/>
  <c r="BB58" i="60"/>
  <c r="BB57" i="60"/>
  <c r="BG57" i="60"/>
  <c r="BG58" i="60"/>
  <c r="AV58" i="60"/>
  <c r="AV57" i="60"/>
  <c r="AO60" i="60"/>
  <c r="AO96" i="60" s="1"/>
  <c r="AN60" i="60"/>
  <c r="AN96" i="60" s="1"/>
  <c r="AQ60" i="60"/>
  <c r="AQ96" i="60" s="1"/>
  <c r="BF60" i="60"/>
  <c r="BF96" i="60" s="1"/>
  <c r="AM60" i="60"/>
  <c r="AM96" i="60" s="1"/>
  <c r="AT56" i="60"/>
  <c r="BH60" i="60"/>
  <c r="BH96" i="60" s="1"/>
  <c r="AY56" i="60"/>
  <c r="AY60" i="60"/>
  <c r="AY96" i="60" s="1"/>
  <c r="AX56" i="60"/>
  <c r="AS57" i="60"/>
  <c r="AS58" i="60"/>
  <c r="BG60" i="60"/>
  <c r="BG96" i="60" s="1"/>
  <c r="BF56" i="60"/>
  <c r="AN56" i="60"/>
  <c r="AO56" i="60"/>
  <c r="BD56" i="60"/>
  <c r="BE60" i="60"/>
  <c r="BE96" i="60" s="1"/>
  <c r="AQ56" i="60"/>
  <c r="BB56" i="60"/>
  <c r="BA60" i="60"/>
  <c r="BA96" i="60" s="1"/>
  <c r="AR63" i="60"/>
  <c r="AR33" i="60" s="1"/>
  <c r="AX60" i="60"/>
  <c r="AX96" i="60" s="1"/>
  <c r="BA56" i="60"/>
  <c r="AW60" i="60"/>
  <c r="AW96" i="60" s="1"/>
  <c r="AV56" i="60"/>
  <c r="AU56" i="60"/>
  <c r="AV60" i="60"/>
  <c r="AV96" i="60" s="1"/>
  <c r="BD63" i="60"/>
  <c r="BD33" i="60" s="1"/>
  <c r="AM56" i="60"/>
  <c r="AZ60" i="60"/>
  <c r="AZ96" i="60" s="1"/>
  <c r="AU60" i="60"/>
  <c r="AU96" i="60" s="1"/>
  <c r="AN63" i="60"/>
  <c r="AN33" i="60" s="1"/>
  <c r="AU63" i="60"/>
  <c r="AU33" i="60" s="1"/>
  <c r="AK56" i="60"/>
  <c r="BB60" i="60"/>
  <c r="BB96" i="60" s="1"/>
  <c r="BD60" i="60"/>
  <c r="BD96" i="60" s="1"/>
  <c r="AS60" i="60"/>
  <c r="AS96" i="60" s="1"/>
  <c r="AP56" i="60"/>
  <c r="AR60" i="60"/>
  <c r="AR96" i="60" s="1"/>
  <c r="BC60" i="60"/>
  <c r="BC96" i="60" s="1"/>
  <c r="AZ56" i="60"/>
  <c r="AV63" i="60"/>
  <c r="AV33" i="60" s="1"/>
  <c r="AP63" i="60"/>
  <c r="AP33" i="60" s="1"/>
  <c r="AW63" i="60"/>
  <c r="AW33" i="60" s="1"/>
  <c r="BH56" i="60"/>
  <c r="BG56" i="60"/>
  <c r="AT60" i="60"/>
  <c r="AT96" i="60" s="1"/>
  <c r="AZ63" i="60"/>
  <c r="AZ33" i="60" s="1"/>
  <c r="BA63" i="60"/>
  <c r="BA33" i="60" s="1"/>
  <c r="AS56" i="60"/>
  <c r="BC63" i="60"/>
  <c r="BC33" i="60" s="1"/>
  <c r="AS63" i="60"/>
  <c r="AS33" i="60" s="1"/>
  <c r="BE63" i="60"/>
  <c r="BE33" i="60" s="1"/>
  <c r="AR56" i="60"/>
  <c r="AT63" i="60"/>
  <c r="AT33" i="60" s="1"/>
  <c r="AY63" i="60"/>
  <c r="AY33" i="60" s="1"/>
  <c r="BF63" i="60"/>
  <c r="BF33" i="60" s="1"/>
  <c r="BB63" i="60"/>
  <c r="BB33" i="60" s="1"/>
  <c r="BE56" i="60"/>
  <c r="AX63" i="60"/>
  <c r="AX33" i="60" s="1"/>
  <c r="BH63" i="60"/>
  <c r="BH33" i="60" s="1"/>
  <c r="BG63" i="60"/>
  <c r="BG33" i="60" s="1"/>
  <c r="AO63" i="60"/>
  <c r="AO33" i="60" s="1"/>
  <c r="BC56" i="60"/>
  <c r="AW56" i="60"/>
  <c r="AQ63" i="60"/>
  <c r="AQ33" i="60" s="1"/>
  <c r="BF32" i="60" l="1"/>
  <c r="BA32" i="60"/>
  <c r="AU32" i="60"/>
  <c r="AU35" i="60" s="1"/>
  <c r="AN32" i="60"/>
  <c r="AN35" i="60" s="1"/>
  <c r="AS32" i="60"/>
  <c r="AS35" i="60" s="1"/>
  <c r="BB32" i="60"/>
  <c r="BB35" i="60" s="1"/>
  <c r="BD32" i="60"/>
  <c r="BD35" i="60" s="1"/>
  <c r="AO32" i="60"/>
  <c r="AO35" i="60" s="1"/>
  <c r="AP32" i="60"/>
  <c r="AP35" i="60" s="1"/>
  <c r="AW32" i="60"/>
  <c r="AW35" i="60" s="1"/>
  <c r="AX32" i="60"/>
  <c r="AX35" i="60" s="1"/>
  <c r="AR32" i="60"/>
  <c r="AR35" i="60" s="1"/>
  <c r="AY32" i="60"/>
  <c r="AY35" i="60" s="1"/>
  <c r="AV32" i="60"/>
  <c r="AV35" i="60" s="1"/>
  <c r="BC32" i="60"/>
  <c r="BC35" i="60" s="1"/>
  <c r="AM100" i="60"/>
  <c r="BI33" i="60"/>
  <c r="BH32" i="60" s="1"/>
  <c r="BH35" i="60" s="1"/>
  <c r="BG32" i="60"/>
  <c r="BG35" i="60" s="1"/>
  <c r="BE32" i="60"/>
  <c r="BE35" i="60" s="1"/>
  <c r="AZ32" i="60"/>
  <c r="AZ35" i="60" s="1"/>
  <c r="AT32" i="60"/>
  <c r="AT35" i="60" s="1"/>
  <c r="AQ32" i="60"/>
  <c r="AQ35" i="60" s="1"/>
  <c r="BF35" i="60"/>
  <c r="BA35" i="60"/>
  <c r="AM63" i="60"/>
  <c r="AM33" i="60" s="1"/>
  <c r="AL32" i="60" s="1"/>
  <c r="AZ25" i="60"/>
  <c r="AS18" i="60"/>
  <c r="AY19" i="60"/>
  <c r="AZ20" i="60"/>
  <c r="AN19" i="60"/>
  <c r="AV62" i="60"/>
  <c r="AV64" i="60" s="1"/>
  <c r="AZ18" i="60"/>
  <c r="AU19" i="60"/>
  <c r="AO20" i="60"/>
  <c r="AQ62" i="60"/>
  <c r="AQ64" i="60" s="1"/>
  <c r="BE20" i="60"/>
  <c r="AP19" i="60"/>
  <c r="BF20" i="60"/>
  <c r="AV20" i="60"/>
  <c r="BH20" i="60"/>
  <c r="AX20" i="60"/>
  <c r="AO19" i="60"/>
  <c r="AP130" i="60"/>
  <c r="AP20" i="60"/>
  <c r="AS20" i="60"/>
  <c r="AN130" i="60"/>
  <c r="BE130" i="60"/>
  <c r="AW19" i="60"/>
  <c r="BF130" i="60"/>
  <c r="AL53" i="60"/>
  <c r="BA130" i="60"/>
  <c r="BA20" i="60"/>
  <c r="BD19" i="60"/>
  <c r="AM20" i="60"/>
  <c r="BB20" i="60"/>
  <c r="BB19" i="60"/>
  <c r="AT130" i="60"/>
  <c r="BD20" i="60"/>
  <c r="AX19" i="60"/>
  <c r="AT20" i="60"/>
  <c r="AT19" i="60"/>
  <c r="AQ19" i="60"/>
  <c r="BG19" i="60"/>
  <c r="BF19" i="60"/>
  <c r="BC19" i="60"/>
  <c r="BA19" i="60"/>
  <c r="AZ19" i="60"/>
  <c r="AY20" i="60"/>
  <c r="AR130" i="60"/>
  <c r="AL56" i="60"/>
  <c r="AK53" i="60"/>
  <c r="AS19" i="60"/>
  <c r="AM19" i="60"/>
  <c r="AS130" i="60"/>
  <c r="AW20" i="60"/>
  <c r="BC20" i="60"/>
  <c r="AM130" i="60"/>
  <c r="BG20" i="60"/>
  <c r="BH19" i="60"/>
  <c r="AZ130" i="60"/>
  <c r="BG130" i="60"/>
  <c r="AV19" i="60"/>
  <c r="BD130" i="60"/>
  <c r="AU20" i="60"/>
  <c r="AR20" i="60"/>
  <c r="BE19" i="60"/>
  <c r="BC130" i="60"/>
  <c r="AU130" i="60"/>
  <c r="AQ20" i="60"/>
  <c r="AR19" i="60"/>
  <c r="AX130" i="60"/>
  <c r="BB130" i="60"/>
  <c r="AN20" i="60"/>
  <c r="AV130" i="60"/>
  <c r="AW130" i="60"/>
  <c r="AY130" i="60"/>
  <c r="AQ130" i="60"/>
  <c r="AO130" i="60"/>
  <c r="AQ87" i="60" l="1"/>
  <c r="AQ86" i="60"/>
  <c r="AQ89" i="60" s="1"/>
  <c r="AV87" i="60"/>
  <c r="AV86" i="60"/>
  <c r="AV89" i="60" s="1"/>
  <c r="AM32" i="60"/>
  <c r="AS25" i="60"/>
  <c r="AQ61" i="60"/>
  <c r="AR62" i="60"/>
  <c r="AR64" i="60" s="1"/>
  <c r="BC62" i="60"/>
  <c r="BC64" i="60" s="1"/>
  <c r="AS62" i="60"/>
  <c r="AS64" i="60" s="1"/>
  <c r="AV25" i="60"/>
  <c r="AV18" i="60"/>
  <c r="AR25" i="60"/>
  <c r="AR18" i="60"/>
  <c r="BF25" i="60"/>
  <c r="BF18" i="60"/>
  <c r="AM18" i="60"/>
  <c r="AP25" i="60"/>
  <c r="AP18" i="60"/>
  <c r="BD25" i="60"/>
  <c r="BD18" i="60"/>
  <c r="AT25" i="60"/>
  <c r="AT18" i="60"/>
  <c r="AY25" i="60"/>
  <c r="AY18" i="60"/>
  <c r="AP62" i="60"/>
  <c r="AP64" i="60" s="1"/>
  <c r="BB62" i="60"/>
  <c r="BB64" i="60" s="1"/>
  <c r="BB25" i="60"/>
  <c r="BB18" i="60"/>
  <c r="AU25" i="60"/>
  <c r="AU18" i="60"/>
  <c r="BC25" i="60"/>
  <c r="BC18" i="60"/>
  <c r="BE25" i="60"/>
  <c r="BE18" i="60"/>
  <c r="AQ25" i="60"/>
  <c r="AQ18" i="60"/>
  <c r="BG25" i="60"/>
  <c r="BG18" i="60"/>
  <c r="AO18" i="60"/>
  <c r="AX25" i="60"/>
  <c r="AX18" i="60"/>
  <c r="AW62" i="60"/>
  <c r="AW64" i="60" s="1"/>
  <c r="AW25" i="60"/>
  <c r="AW18" i="60"/>
  <c r="BH25" i="60"/>
  <c r="BH18" i="60"/>
  <c r="AN18" i="60"/>
  <c r="BA25" i="60"/>
  <c r="BA18" i="60"/>
  <c r="AQ98" i="60"/>
  <c r="AX62" i="60"/>
  <c r="AX64" i="60" s="1"/>
  <c r="BE62" i="60"/>
  <c r="BE64" i="60" s="1"/>
  <c r="AY62" i="60"/>
  <c r="AY64" i="60" s="1"/>
  <c r="AZ62" i="60"/>
  <c r="AZ64" i="60" s="1"/>
  <c r="AN62" i="60"/>
  <c r="AN64" i="60" s="1"/>
  <c r="BD62" i="60"/>
  <c r="BD64" i="60" s="1"/>
  <c r="BH62" i="60"/>
  <c r="BH64" i="60" s="1"/>
  <c r="BF62" i="60"/>
  <c r="BF64" i="60" s="1"/>
  <c r="BA62" i="60"/>
  <c r="BA64" i="60" s="1"/>
  <c r="BG62" i="60"/>
  <c r="BG64" i="60" s="1"/>
  <c r="AV61" i="60"/>
  <c r="AV98" i="60"/>
  <c r="AU62" i="60"/>
  <c r="AU64" i="60" s="1"/>
  <c r="AT62" i="60"/>
  <c r="AT64" i="60" s="1"/>
  <c r="AO62" i="60"/>
  <c r="AO64" i="60" s="1"/>
  <c r="AL18" i="60"/>
  <c r="AM62" i="60"/>
  <c r="AM64" i="60" s="1"/>
  <c r="AM87" i="60" l="1"/>
  <c r="AM91" i="60" s="1"/>
  <c r="AL90" i="60" s="1"/>
  <c r="AM86" i="60"/>
  <c r="AM89" i="60" s="1"/>
  <c r="BG87" i="60"/>
  <c r="BG86" i="60"/>
  <c r="BG89" i="60" s="1"/>
  <c r="BE86" i="60"/>
  <c r="BE89" i="60" s="1"/>
  <c r="BE87" i="60"/>
  <c r="AR87" i="60"/>
  <c r="AR86" i="60"/>
  <c r="AR89" i="60" s="1"/>
  <c r="BA86" i="60"/>
  <c r="BA89" i="60" s="1"/>
  <c r="BA87" i="60"/>
  <c r="AX86" i="60"/>
  <c r="AX89" i="60" s="1"/>
  <c r="AX87" i="60"/>
  <c r="BF86" i="60"/>
  <c r="BF89" i="60" s="1"/>
  <c r="BF87" i="60"/>
  <c r="AZ87" i="60"/>
  <c r="AZ86" i="60"/>
  <c r="AZ89" i="60" s="1"/>
  <c r="AS61" i="60"/>
  <c r="AS98" i="60"/>
  <c r="AT86" i="60"/>
  <c r="AT89" i="60" s="1"/>
  <c r="AT87" i="60"/>
  <c r="BD87" i="60"/>
  <c r="BD86" i="60"/>
  <c r="BD89" i="60" s="1"/>
  <c r="BB86" i="60"/>
  <c r="BB89" i="60" s="1"/>
  <c r="BB87" i="60"/>
  <c r="AU87" i="60"/>
  <c r="AU86" i="60"/>
  <c r="AU89" i="60" s="1"/>
  <c r="AN87" i="60"/>
  <c r="AN86" i="60"/>
  <c r="AN89" i="60" s="1"/>
  <c r="AP86" i="60"/>
  <c r="AP89" i="60" s="1"/>
  <c r="AP87" i="60"/>
  <c r="AO86" i="60"/>
  <c r="AO89" i="60" s="1"/>
  <c r="AO87" i="60"/>
  <c r="BH87" i="60"/>
  <c r="BH86" i="60"/>
  <c r="BH89" i="60" s="1"/>
  <c r="AY87" i="60"/>
  <c r="AY86" i="60"/>
  <c r="AY89" i="60" s="1"/>
  <c r="AW86" i="60"/>
  <c r="AW89" i="60" s="1"/>
  <c r="AW87" i="60"/>
  <c r="BC87" i="60"/>
  <c r="BC86" i="60"/>
  <c r="BC89" i="60" s="1"/>
  <c r="AR61" i="60"/>
  <c r="AL31" i="60"/>
  <c r="AM35" i="60"/>
  <c r="AR98" i="60"/>
  <c r="BB98" i="60"/>
  <c r="AW98" i="60"/>
  <c r="AP61" i="60"/>
  <c r="BE98" i="60"/>
  <c r="BC98" i="60"/>
  <c r="BC61" i="60"/>
  <c r="AW61" i="60"/>
  <c r="AP98" i="60"/>
  <c r="BB61" i="60"/>
  <c r="AX61" i="60"/>
  <c r="AX98" i="60"/>
  <c r="BE61" i="60"/>
  <c r="AU61" i="60"/>
  <c r="AU98" i="60"/>
  <c r="AZ61" i="60"/>
  <c r="AZ98" i="60"/>
  <c r="BH61" i="60"/>
  <c r="BH98" i="60"/>
  <c r="AM61" i="60"/>
  <c r="AM98" i="60"/>
  <c r="BA61" i="60"/>
  <c r="BA98" i="60"/>
  <c r="AY61" i="60"/>
  <c r="AY98" i="60"/>
  <c r="AO61" i="60"/>
  <c r="AO98" i="60"/>
  <c r="AT61" i="60"/>
  <c r="AT98" i="60"/>
  <c r="BD61" i="60"/>
  <c r="BD98" i="60"/>
  <c r="BG61" i="60"/>
  <c r="BG98" i="60"/>
  <c r="BF61" i="60"/>
  <c r="BF98" i="60"/>
  <c r="AN61" i="60"/>
  <c r="AN98" i="60"/>
  <c r="AS86" i="60" l="1"/>
  <c r="AS89" i="60" s="1"/>
  <c r="AS87" i="60"/>
  <c r="AL93" i="60"/>
  <c r="AM94" i="60"/>
  <c r="AN100" i="60" l="1"/>
  <c r="AN91" i="60" l="1"/>
  <c r="AN94" i="60" l="1"/>
  <c r="AM93" i="60"/>
  <c r="AO100" i="60" l="1"/>
  <c r="AO91" i="60" l="1"/>
  <c r="AO94" i="60" l="1"/>
  <c r="AN93" i="60"/>
  <c r="AP100" i="60" l="1"/>
  <c r="AP91" i="60" l="1"/>
  <c r="AP94" i="60" l="1"/>
  <c r="AO93" i="60"/>
  <c r="AQ100" i="60" l="1"/>
  <c r="AQ91" i="60" l="1"/>
  <c r="AQ94" i="60" l="1"/>
  <c r="AP93" i="60"/>
  <c r="AP104" i="60" s="1"/>
  <c r="AP106" i="60" l="1"/>
  <c r="AR100" i="60" l="1"/>
  <c r="AR91" i="60" l="1"/>
  <c r="AR94" i="60" l="1"/>
  <c r="AQ93" i="60"/>
  <c r="AQ104" i="60" s="1"/>
  <c r="AQ106" i="60" l="1"/>
  <c r="AS100" i="60" l="1"/>
  <c r="AS91" i="60" l="1"/>
  <c r="AS94" i="60" l="1"/>
  <c r="AR93" i="60"/>
  <c r="AR104" i="60" s="1"/>
  <c r="AR106" i="60" l="1"/>
  <c r="AT100" i="60" l="1"/>
  <c r="AT91" i="60" l="1"/>
  <c r="AT94" i="60" l="1"/>
  <c r="AS93" i="60"/>
  <c r="AS104" i="60" s="1"/>
  <c r="AS106" i="60" l="1"/>
  <c r="AU100" i="60" l="1"/>
  <c r="AU91" i="60" l="1"/>
  <c r="AU94" i="60" l="1"/>
  <c r="AT93" i="60"/>
  <c r="AT104" i="60" s="1"/>
  <c r="AT106" i="60" l="1"/>
  <c r="AV100" i="60" l="1"/>
  <c r="AV91" i="60" l="1"/>
  <c r="AV94" i="60" l="1"/>
  <c r="AU93" i="60"/>
  <c r="AU104" i="60" s="1"/>
  <c r="AU106" i="60" l="1"/>
  <c r="AW100" i="60" l="1"/>
  <c r="AW91" i="60" l="1"/>
  <c r="AW94" i="60" l="1"/>
  <c r="AV93" i="60"/>
  <c r="AV104" i="60" s="1"/>
  <c r="AV106" i="60" l="1"/>
  <c r="AX100" i="60" l="1"/>
  <c r="AX91" i="60" l="1"/>
  <c r="AX94" i="60" l="1"/>
  <c r="AW93" i="60"/>
  <c r="AW104" i="60" s="1"/>
  <c r="AW106" i="60" l="1"/>
  <c r="AY100" i="60" l="1"/>
  <c r="AY91" i="60" l="1"/>
  <c r="AY94" i="60" l="1"/>
  <c r="AX93" i="60"/>
  <c r="AX104" i="60" s="1"/>
  <c r="AX106" i="60" l="1"/>
  <c r="AZ100" i="60" l="1"/>
  <c r="AZ91" i="60" l="1"/>
  <c r="AZ94" i="60" l="1"/>
  <c r="AY93" i="60"/>
  <c r="AY104" i="60" s="1"/>
  <c r="AY106" i="60" l="1"/>
  <c r="BA100" i="60" l="1"/>
  <c r="BA91" i="60" l="1"/>
  <c r="BA94" i="60" l="1"/>
  <c r="AZ93" i="60"/>
  <c r="AZ104" i="60" s="1"/>
  <c r="AZ106" i="60" l="1"/>
  <c r="BB100" i="60" l="1"/>
  <c r="BB91" i="60" l="1"/>
  <c r="BB94" i="60" l="1"/>
  <c r="BA93" i="60"/>
  <c r="BA104" i="60" s="1"/>
  <c r="BA106" i="60" l="1"/>
  <c r="BC100" i="60" l="1"/>
  <c r="BC91" i="60" l="1"/>
  <c r="BC94" i="60" l="1"/>
  <c r="BB93" i="60"/>
  <c r="BB104" i="60" s="1"/>
  <c r="BB106" i="60" l="1"/>
  <c r="BD100" i="60" l="1"/>
  <c r="BD91" i="60" l="1"/>
  <c r="BD94" i="60" l="1"/>
  <c r="BC93" i="60"/>
  <c r="BC104" i="60" s="1"/>
  <c r="BC106" i="60" l="1"/>
  <c r="BE100" i="60" l="1"/>
  <c r="BE91" i="60" l="1"/>
  <c r="BE94" i="60" l="1"/>
  <c r="BD93" i="60"/>
  <c r="BD104" i="60" s="1"/>
  <c r="BD106" i="60" l="1"/>
  <c r="BF100" i="60" l="1"/>
  <c r="BF91" i="60" l="1"/>
  <c r="BF94" i="60" l="1"/>
  <c r="BE93" i="60"/>
  <c r="BE104" i="60" s="1"/>
  <c r="BE106" i="60" l="1"/>
  <c r="BG100" i="60" l="1"/>
  <c r="BG91" i="60" l="1"/>
  <c r="BG94" i="60" l="1"/>
  <c r="BF93" i="60"/>
  <c r="BF104" i="60" s="1"/>
  <c r="BF106" i="60" l="1"/>
  <c r="BH100" i="60" l="1"/>
  <c r="BH91" i="60" l="1"/>
  <c r="BH94" i="60" l="1"/>
  <c r="BH93" i="60"/>
  <c r="BH104" i="60" s="1"/>
  <c r="BG93" i="60"/>
  <c r="BG104" i="60" s="1"/>
  <c r="BH106" i="60" l="1"/>
  <c r="BG106" i="60"/>
  <c r="C62" i="60" l="1"/>
  <c r="C64" i="60" s="1"/>
  <c r="C61" i="60" l="1"/>
  <c r="C98" i="60"/>
  <c r="C87" i="60" l="1"/>
  <c r="C86" i="60"/>
  <c r="C89" i="60" s="1"/>
  <c r="C36" i="60"/>
  <c r="C37" i="60"/>
  <c r="C126" i="60" s="1"/>
  <c r="C34" i="60"/>
  <c r="C39" i="60" s="1"/>
  <c r="AL88" i="60" l="1"/>
  <c r="BH88" i="60"/>
  <c r="AU88" i="60"/>
  <c r="AQ88" i="60"/>
  <c r="G88" i="60"/>
  <c r="AC88" i="60"/>
  <c r="AV88" i="60"/>
  <c r="BF88" i="60"/>
  <c r="AK88" i="60"/>
  <c r="W88" i="60"/>
  <c r="T88" i="60"/>
  <c r="BG88" i="60"/>
  <c r="AO88" i="60"/>
  <c r="AF88" i="60"/>
  <c r="C91" i="60"/>
  <c r="BB88" i="60"/>
  <c r="S88" i="60"/>
  <c r="AA88" i="60"/>
  <c r="N88" i="60"/>
  <c r="AB88" i="60"/>
  <c r="AY88" i="60"/>
  <c r="AE88" i="60"/>
  <c r="AR88" i="60"/>
  <c r="K88" i="60"/>
  <c r="C88" i="60"/>
  <c r="BA88" i="60"/>
  <c r="R88" i="60"/>
  <c r="AH88" i="60"/>
  <c r="AX88" i="60"/>
  <c r="F88" i="60"/>
  <c r="Q88" i="60"/>
  <c r="AN88" i="60"/>
  <c r="I88" i="60"/>
  <c r="AD88" i="60"/>
  <c r="AW88" i="60"/>
  <c r="Y88" i="60"/>
  <c r="U88" i="60"/>
  <c r="X88" i="60"/>
  <c r="J88" i="60"/>
  <c r="AS88" i="60"/>
  <c r="L88" i="60"/>
  <c r="AG88" i="60"/>
  <c r="BC88" i="60"/>
  <c r="M88" i="60"/>
  <c r="V88" i="60"/>
  <c r="AM88" i="60"/>
  <c r="D88" i="60"/>
  <c r="AZ88" i="60"/>
  <c r="AT88" i="60"/>
  <c r="H88" i="60"/>
  <c r="E88" i="60"/>
  <c r="Z88" i="60"/>
  <c r="O88" i="60"/>
  <c r="AP88" i="60"/>
  <c r="BE88" i="60"/>
  <c r="AI88" i="60"/>
  <c r="BD88" i="60"/>
  <c r="AJ88" i="60"/>
  <c r="P88" i="60"/>
  <c r="C80" i="60"/>
  <c r="C81" i="60" s="1"/>
  <c r="C24" i="60"/>
  <c r="C29" i="60" s="1"/>
  <c r="C103" i="60" s="1"/>
  <c r="AC92" i="60" l="1"/>
  <c r="L92" i="60"/>
  <c r="D92" i="60"/>
  <c r="E92" i="60"/>
  <c r="K92" i="60"/>
  <c r="AR92" i="60"/>
  <c r="AG92" i="60"/>
  <c r="AX92" i="60"/>
  <c r="BE92" i="60"/>
  <c r="G92" i="60"/>
  <c r="AH92" i="60"/>
  <c r="R92" i="60"/>
  <c r="H92" i="60"/>
  <c r="AZ92" i="60"/>
  <c r="BB92" i="60"/>
  <c r="S92" i="60"/>
  <c r="AI92" i="60"/>
  <c r="AD92" i="60"/>
  <c r="AK92" i="60"/>
  <c r="Q92" i="60"/>
  <c r="BH92" i="60"/>
  <c r="AJ92" i="60"/>
  <c r="BG92" i="60"/>
  <c r="AF92" i="60"/>
  <c r="N92" i="60"/>
  <c r="Z92" i="60"/>
  <c r="AU92" i="60"/>
  <c r="AB92" i="60"/>
  <c r="T92" i="60"/>
  <c r="U92" i="60"/>
  <c r="V92" i="60"/>
  <c r="AY92" i="60"/>
  <c r="AW92" i="60"/>
  <c r="AN92" i="60"/>
  <c r="X92" i="60"/>
  <c r="AO92" i="60"/>
  <c r="AQ92" i="60"/>
  <c r="AS92" i="60"/>
  <c r="AP92" i="60"/>
  <c r="J92" i="60"/>
  <c r="C93" i="60"/>
  <c r="I92" i="60"/>
  <c r="BF92" i="60"/>
  <c r="BA92" i="60"/>
  <c r="M92" i="60"/>
  <c r="AA92" i="60"/>
  <c r="AV92" i="60"/>
  <c r="AT92" i="60"/>
  <c r="BC92" i="60"/>
  <c r="AE92" i="60"/>
  <c r="Y92" i="60"/>
  <c r="P92" i="60"/>
  <c r="BD92" i="60"/>
  <c r="AM92" i="60"/>
  <c r="O92" i="60"/>
  <c r="F92" i="60"/>
  <c r="C94" i="60"/>
  <c r="W92" i="60"/>
  <c r="AL92" i="60"/>
  <c r="C23" i="60"/>
  <c r="C27" i="60" s="1"/>
  <c r="C97" i="60" s="1"/>
  <c r="C78" i="60"/>
  <c r="C79" i="60" s="1"/>
  <c r="C22" i="60"/>
  <c r="C82" i="60" l="1"/>
  <c r="C83" i="60" s="1"/>
  <c r="C26" i="60"/>
  <c r="C108" i="60" s="1"/>
  <c r="C114" i="60" l="1"/>
  <c r="C109" i="60"/>
  <c r="C110" i="60" s="1"/>
  <c r="C111" i="60"/>
  <c r="AN36" i="60"/>
  <c r="G31" i="60"/>
  <c r="I36" i="60"/>
  <c r="AW36" i="60"/>
  <c r="AF36" i="60"/>
  <c r="P36" i="60"/>
  <c r="W36" i="60"/>
  <c r="G36" i="60"/>
  <c r="L35" i="60"/>
  <c r="M36" i="60"/>
  <c r="AB36" i="60"/>
  <c r="AU36" i="60"/>
  <c r="I31" i="60"/>
  <c r="J36" i="60"/>
  <c r="AK36" i="60"/>
  <c r="U36" i="60"/>
  <c r="AX36" i="60"/>
  <c r="AR36" i="60"/>
  <c r="O36" i="60"/>
  <c r="AT37" i="60"/>
  <c r="AT126" i="60" s="1"/>
  <c r="AT36" i="60"/>
  <c r="AL36" i="60"/>
  <c r="AA36" i="60"/>
  <c r="AO36" i="60"/>
  <c r="AO37" i="60"/>
  <c r="AO126" i="60" s="1"/>
  <c r="AE37" i="60"/>
  <c r="AE126" i="60" s="1"/>
  <c r="AE36" i="60"/>
  <c r="AY36" i="60"/>
  <c r="AY37" i="60"/>
  <c r="AY126" i="60" s="1"/>
  <c r="AI36" i="60"/>
  <c r="AR37" i="60"/>
  <c r="AR126" i="60" s="1"/>
  <c r="T36" i="60"/>
  <c r="T37" i="60"/>
  <c r="T126" i="60" s="1"/>
  <c r="X37" i="60"/>
  <c r="X126" i="60" s="1"/>
  <c r="X36" i="60"/>
  <c r="Y36" i="60"/>
  <c r="BF36" i="60"/>
  <c r="H36" i="60"/>
  <c r="BC36" i="60"/>
  <c r="V36" i="60"/>
  <c r="BB37" i="60"/>
  <c r="BB126" i="60" s="1"/>
  <c r="BB36" i="60"/>
  <c r="AZ36" i="60"/>
  <c r="K35" i="60"/>
  <c r="L36" i="60"/>
  <c r="AI37" i="60"/>
  <c r="AI126" i="60" s="1"/>
  <c r="AV36" i="60"/>
  <c r="AS36" i="60"/>
  <c r="Z36" i="60"/>
  <c r="Z31" i="60"/>
  <c r="AC36" i="60"/>
  <c r="AD36" i="60"/>
  <c r="Q36" i="60"/>
  <c r="AC37" i="60"/>
  <c r="AC126" i="60" s="1"/>
  <c r="K37" i="60"/>
  <c r="K126" i="60" s="1"/>
  <c r="K36" i="60"/>
  <c r="J35" i="60"/>
  <c r="F35" i="60"/>
  <c r="AB37" i="60"/>
  <c r="AB126" i="60" s="1"/>
  <c r="G37" i="60"/>
  <c r="G126" i="60" s="1"/>
  <c r="F36" i="60"/>
  <c r="S36" i="60"/>
  <c r="S37" i="60"/>
  <c r="S126" i="60" s="1"/>
  <c r="BA36" i="60"/>
  <c r="AM36" i="60"/>
  <c r="D36" i="60"/>
  <c r="BF37" i="60"/>
  <c r="BF126" i="60" s="1"/>
  <c r="Z37" i="60"/>
  <c r="Z126" i="60" s="1"/>
  <c r="AV37" i="60"/>
  <c r="AV126" i="60" s="1"/>
  <c r="M37" i="60"/>
  <c r="M126" i="60" s="1"/>
  <c r="AX37" i="60"/>
  <c r="AX126" i="60" s="1"/>
  <c r="I37" i="60"/>
  <c r="I126" i="60" s="1"/>
  <c r="AA37" i="60"/>
  <c r="AA126" i="60" s="1"/>
  <c r="AF37" i="60"/>
  <c r="AF126" i="60" s="1"/>
  <c r="E36" i="60"/>
  <c r="E37" i="60"/>
  <c r="E126" i="60" s="1"/>
  <c r="BG37" i="60"/>
  <c r="BG126" i="60" s="1"/>
  <c r="BG36" i="60"/>
  <c r="AJ36" i="60"/>
  <c r="AJ37" i="60"/>
  <c r="AJ126" i="60" s="1"/>
  <c r="N36" i="60"/>
  <c r="N37" i="60"/>
  <c r="N126" i="60" s="1"/>
  <c r="AQ36" i="60"/>
  <c r="AQ37" i="60"/>
  <c r="AQ126" i="60" s="1"/>
  <c r="N31" i="60"/>
  <c r="AP36" i="60"/>
  <c r="AP37" i="60"/>
  <c r="AP126" i="60" s="1"/>
  <c r="I35" i="60"/>
  <c r="O31" i="60"/>
  <c r="P35" i="60"/>
  <c r="AG36" i="60"/>
  <c r="AG37" i="60"/>
  <c r="AG126" i="60" s="1"/>
  <c r="AM37" i="60"/>
  <c r="AM126" i="60" s="1"/>
  <c r="D37" i="60"/>
  <c r="D126" i="60" s="1"/>
  <c r="O37" i="60"/>
  <c r="O126" i="60" s="1"/>
  <c r="T35" i="60"/>
  <c r="AH36" i="60"/>
  <c r="AK37" i="60"/>
  <c r="AK126" i="60" s="1"/>
  <c r="BE36" i="60"/>
  <c r="L31" i="60"/>
  <c r="V37" i="60"/>
  <c r="V126" i="60" s="1"/>
  <c r="L37" i="60"/>
  <c r="L126" i="60" s="1"/>
  <c r="BH36" i="60"/>
  <c r="U37" i="60"/>
  <c r="U126" i="60" s="1"/>
  <c r="AW37" i="60"/>
  <c r="AW126" i="60" s="1"/>
  <c r="AH35" i="60"/>
  <c r="F37" i="60"/>
  <c r="F126" i="60" s="1"/>
  <c r="BD37" i="60"/>
  <c r="BD126" i="60" s="1"/>
  <c r="BD36" i="60"/>
  <c r="AD34" i="60"/>
  <c r="AD24" i="60" s="1"/>
  <c r="AC31" i="60"/>
  <c r="AD35" i="60"/>
  <c r="BA37" i="60"/>
  <c r="BA126" i="60" s="1"/>
  <c r="M34" i="60"/>
  <c r="M80" i="60" s="1"/>
  <c r="M81" i="60" s="1"/>
  <c r="AL37" i="60"/>
  <c r="AL126" i="60" s="1"/>
  <c r="R31" i="60"/>
  <c r="S35" i="60"/>
  <c r="W37" i="60"/>
  <c r="W126" i="60" s="1"/>
  <c r="BC37" i="60"/>
  <c r="BC126" i="60" s="1"/>
  <c r="X31" i="60"/>
  <c r="Q37" i="60"/>
  <c r="Q126" i="60" s="1"/>
  <c r="BE37" i="60"/>
  <c r="BE126" i="60" s="1"/>
  <c r="AH34" i="60"/>
  <c r="N34" i="60"/>
  <c r="N24" i="60" s="1"/>
  <c r="R36" i="60"/>
  <c r="J37" i="60"/>
  <c r="J126" i="60" s="1"/>
  <c r="AD37" i="60"/>
  <c r="AD126" i="60" s="1"/>
  <c r="H37" i="60"/>
  <c r="H126" i="60" s="1"/>
  <c r="Y37" i="60"/>
  <c r="Y126" i="60" s="1"/>
  <c r="AZ34" i="60"/>
  <c r="AZ39" i="60" s="1"/>
  <c r="AS37" i="60"/>
  <c r="AS126" i="60" s="1"/>
  <c r="AJ34" i="60"/>
  <c r="AS34" i="60"/>
  <c r="AB34" i="60"/>
  <c r="AY34" i="60"/>
  <c r="AD31" i="60"/>
  <c r="AI34" i="60"/>
  <c r="T34" i="60"/>
  <c r="T80" i="60" s="1"/>
  <c r="T81" i="60" s="1"/>
  <c r="BA34" i="60"/>
  <c r="BA80" i="60" s="1"/>
  <c r="BA81" i="60" s="1"/>
  <c r="AN34" i="60"/>
  <c r="AN24" i="60" s="1"/>
  <c r="AK34" i="60"/>
  <c r="AK80" i="60" s="1"/>
  <c r="AK81" i="60" s="1"/>
  <c r="AH37" i="60"/>
  <c r="AH126" i="60" s="1"/>
  <c r="U35" i="60"/>
  <c r="T31" i="60"/>
  <c r="AF31" i="60"/>
  <c r="BB34" i="60"/>
  <c r="Q34" i="60"/>
  <c r="Q39" i="60" s="1"/>
  <c r="P37" i="60"/>
  <c r="P126" i="60" s="1"/>
  <c r="AN37" i="60"/>
  <c r="AN126" i="60" s="1"/>
  <c r="AW34" i="60"/>
  <c r="AW39" i="60" s="1"/>
  <c r="X34" i="60"/>
  <c r="X24" i="60" s="1"/>
  <c r="AZ37" i="60"/>
  <c r="AZ126" i="60" s="1"/>
  <c r="AH31" i="60"/>
  <c r="S34" i="60"/>
  <c r="S80" i="60" s="1"/>
  <c r="S81" i="60" s="1"/>
  <c r="AL34" i="60"/>
  <c r="AL24" i="60" s="1"/>
  <c r="AL29" i="60" s="1"/>
  <c r="J34" i="60"/>
  <c r="AU37" i="60"/>
  <c r="AU126" i="60" s="1"/>
  <c r="Y34" i="60"/>
  <c r="Y80" i="60" s="1"/>
  <c r="Y81" i="60" s="1"/>
  <c r="BC34" i="60"/>
  <c r="BC39" i="60" s="1"/>
  <c r="L34" i="60"/>
  <c r="L39" i="60" s="1"/>
  <c r="R37" i="60"/>
  <c r="R126" i="60" s="1"/>
  <c r="E34" i="60"/>
  <c r="E39" i="60" s="1"/>
  <c r="D34" i="60"/>
  <c r="D39" i="60" s="1"/>
  <c r="V34" i="60"/>
  <c r="V39" i="60" s="1"/>
  <c r="AX34" i="60"/>
  <c r="AX24" i="60" s="1"/>
  <c r="BG34" i="60"/>
  <c r="BG39" i="60" s="1"/>
  <c r="AP34" i="60"/>
  <c r="AP39" i="60" s="1"/>
  <c r="BF34" i="60"/>
  <c r="BF24" i="60" s="1"/>
  <c r="Y31" i="60"/>
  <c r="W34" i="60"/>
  <c r="W39" i="60" s="1"/>
  <c r="AO34" i="60"/>
  <c r="AO39" i="60" s="1"/>
  <c r="Q31" i="60"/>
  <c r="R35" i="60"/>
  <c r="G34" i="60"/>
  <c r="G39" i="60" s="1"/>
  <c r="H34" i="60"/>
  <c r="O34" i="60"/>
  <c r="AJ31" i="60"/>
  <c r="F34" i="60"/>
  <c r="F39" i="60" s="1"/>
  <c r="K34" i="60"/>
  <c r="K24" i="60" s="1"/>
  <c r="AU34" i="60"/>
  <c r="AU39" i="60" s="1"/>
  <c r="AG34" i="60"/>
  <c r="BH34" i="60"/>
  <c r="BH39" i="60" s="1"/>
  <c r="AI31" i="60"/>
  <c r="C31" i="60"/>
  <c r="D35" i="60"/>
  <c r="AM34" i="60"/>
  <c r="AM80" i="60" s="1"/>
  <c r="AM81" i="60" s="1"/>
  <c r="BE34" i="60"/>
  <c r="BE80" i="60" s="1"/>
  <c r="BE81" i="60" s="1"/>
  <c r="P31" i="60"/>
  <c r="R34" i="60"/>
  <c r="R24" i="60" s="1"/>
  <c r="AQ34" i="60"/>
  <c r="AQ24" i="60" s="1"/>
  <c r="AA31" i="60"/>
  <c r="AB35" i="60"/>
  <c r="Z34" i="60"/>
  <c r="Z39" i="60" s="1"/>
  <c r="AA34" i="60"/>
  <c r="M31" i="60"/>
  <c r="N35" i="60"/>
  <c r="AE34" i="60"/>
  <c r="AE39" i="60" s="1"/>
  <c r="U31" i="60"/>
  <c r="V35" i="60"/>
  <c r="AF34" i="60"/>
  <c r="AF80" i="60" s="1"/>
  <c r="AF81" i="60" s="1"/>
  <c r="AR34" i="60"/>
  <c r="AT34" i="60"/>
  <c r="AT39" i="60" s="1"/>
  <c r="AC34" i="60"/>
  <c r="AC24" i="60" s="1"/>
  <c r="W31" i="60"/>
  <c r="BD34" i="60"/>
  <c r="BD39" i="60" s="1"/>
  <c r="AV34" i="60"/>
  <c r="AV39" i="60" s="1"/>
  <c r="C35" i="60"/>
  <c r="C104" i="60" s="1"/>
  <c r="I34" i="60"/>
  <c r="U34" i="60"/>
  <c r="U24" i="60" s="1"/>
  <c r="U23" i="60" s="1"/>
  <c r="U27" i="60" s="1"/>
  <c r="BH37" i="60"/>
  <c r="BH126" i="60" s="1"/>
  <c r="P34" i="60"/>
  <c r="S104" i="60" l="1"/>
  <c r="S106" i="60" s="1"/>
  <c r="AB104" i="60"/>
  <c r="AB106" i="60" s="1"/>
  <c r="AD104" i="60"/>
  <c r="AD106" i="60" s="1"/>
  <c r="T104" i="60"/>
  <c r="T106" i="60" s="1"/>
  <c r="V104" i="60"/>
  <c r="V106" i="60" s="1"/>
  <c r="U104" i="60"/>
  <c r="U106" i="60" s="1"/>
  <c r="R104" i="60"/>
  <c r="R106" i="60" s="1"/>
  <c r="N104" i="60"/>
  <c r="N106" i="60" s="1"/>
  <c r="AH104" i="60"/>
  <c r="AH106" i="60" s="1"/>
  <c r="P104" i="60"/>
  <c r="P106" i="60" s="1"/>
  <c r="AK24" i="60"/>
  <c r="AK78" i="60" s="1"/>
  <c r="AK79" i="60" s="1"/>
  <c r="Q24" i="60"/>
  <c r="Q29" i="60" s="1"/>
  <c r="Q103" i="60" s="1"/>
  <c r="W80" i="60"/>
  <c r="W81" i="60" s="1"/>
  <c r="AL23" i="60"/>
  <c r="AL27" i="60" s="1"/>
  <c r="G24" i="60"/>
  <c r="G78" i="60" s="1"/>
  <c r="G79" i="60" s="1"/>
  <c r="BF23" i="60"/>
  <c r="BF27" i="60" s="1"/>
  <c r="BF26" i="60" s="1"/>
  <c r="BD80" i="60"/>
  <c r="BD81" i="60" s="1"/>
  <c r="R80" i="60"/>
  <c r="R81" i="60" s="1"/>
  <c r="AE24" i="60"/>
  <c r="AE23" i="60" s="1"/>
  <c r="AE27" i="60" s="1"/>
  <c r="AP24" i="60"/>
  <c r="AP78" i="60" s="1"/>
  <c r="F80" i="60"/>
  <c r="F81" i="60" s="1"/>
  <c r="AV24" i="60"/>
  <c r="AV78" i="60" s="1"/>
  <c r="X39" i="60"/>
  <c r="J31" i="60"/>
  <c r="AW80" i="60"/>
  <c r="AW81" i="60" s="1"/>
  <c r="BG80" i="60"/>
  <c r="BG81" i="60" s="1"/>
  <c r="X35" i="60"/>
  <c r="Z80" i="60"/>
  <c r="Z81" i="60" s="1"/>
  <c r="Q35" i="60"/>
  <c r="Z35" i="60"/>
  <c r="AI35" i="60"/>
  <c r="BD24" i="60"/>
  <c r="BD78" i="60" s="1"/>
  <c r="D80" i="60"/>
  <c r="D81" i="60" s="1"/>
  <c r="S31" i="60"/>
  <c r="H31" i="60"/>
  <c r="AD29" i="60"/>
  <c r="AD78" i="60"/>
  <c r="D24" i="60"/>
  <c r="D22" i="60" s="1"/>
  <c r="BH80" i="60"/>
  <c r="BH81" i="60" s="1"/>
  <c r="L80" i="60"/>
  <c r="L81" i="60" s="1"/>
  <c r="AF24" i="60"/>
  <c r="AF78" i="60" s="1"/>
  <c r="AF79" i="60" s="1"/>
  <c r="AU80" i="60"/>
  <c r="AU81" i="60" s="1"/>
  <c r="AL39" i="60"/>
  <c r="AL103" i="60" s="1"/>
  <c r="E31" i="60"/>
  <c r="V80" i="60"/>
  <c r="V81" i="60" s="1"/>
  <c r="K31" i="60"/>
  <c r="AT24" i="60"/>
  <c r="AT22" i="60" s="1"/>
  <c r="E24" i="60"/>
  <c r="E22" i="60" s="1"/>
  <c r="AE35" i="60"/>
  <c r="AJ35" i="60"/>
  <c r="AK35" i="60"/>
  <c r="BH24" i="60"/>
  <c r="X80" i="60"/>
  <c r="X81" i="60" s="1"/>
  <c r="AO80" i="60"/>
  <c r="AO81" i="60" s="1"/>
  <c r="AE80" i="60"/>
  <c r="AE81" i="60" s="1"/>
  <c r="K80" i="60"/>
  <c r="K81" i="60" s="1"/>
  <c r="AZ80" i="60"/>
  <c r="AZ81" i="60" s="1"/>
  <c r="AF39" i="60"/>
  <c r="AG31" i="60"/>
  <c r="BA39" i="60"/>
  <c r="H35" i="60"/>
  <c r="AC22" i="60"/>
  <c r="AC29" i="60"/>
  <c r="AC78" i="60"/>
  <c r="U97" i="60"/>
  <c r="U26" i="60"/>
  <c r="AR39" i="60"/>
  <c r="AR80" i="60"/>
  <c r="AR81" i="60" s="1"/>
  <c r="AR24" i="60"/>
  <c r="AR23" i="60" s="1"/>
  <c r="AR27" i="60" s="1"/>
  <c r="K22" i="60"/>
  <c r="K78" i="60"/>
  <c r="AK82" i="60"/>
  <c r="AK83" i="60" s="1"/>
  <c r="AI39" i="60"/>
  <c r="AI80" i="60"/>
  <c r="AI81" i="60" s="1"/>
  <c r="AI24" i="60"/>
  <c r="AI23" i="60" s="1"/>
  <c r="AI27" i="60" s="1"/>
  <c r="AQ22" i="60"/>
  <c r="AQ78" i="60"/>
  <c r="AQ29" i="60"/>
  <c r="K29" i="60"/>
  <c r="U39" i="60"/>
  <c r="U80" i="60"/>
  <c r="U81" i="60" s="1"/>
  <c r="C112" i="60"/>
  <c r="C106" i="60"/>
  <c r="AB24" i="60"/>
  <c r="AB39" i="60"/>
  <c r="AB80" i="60"/>
  <c r="AB81" i="60" s="1"/>
  <c r="D31" i="60"/>
  <c r="E35" i="60"/>
  <c r="E104" i="60" s="1"/>
  <c r="AX22" i="60"/>
  <c r="AX78" i="60"/>
  <c r="AX29" i="60"/>
  <c r="I39" i="60"/>
  <c r="I80" i="60"/>
  <c r="I81" i="60" s="1"/>
  <c r="I24" i="60"/>
  <c r="I23" i="60" s="1"/>
  <c r="I27" i="60" s="1"/>
  <c r="AQ23" i="60"/>
  <c r="AQ27" i="60" s="1"/>
  <c r="AX39" i="60"/>
  <c r="AX80" i="60"/>
  <c r="AX81" i="60" s="1"/>
  <c r="AX23" i="60"/>
  <c r="AX27" i="60" s="1"/>
  <c r="Y39" i="60"/>
  <c r="Y24" i="60"/>
  <c r="Y23" i="60" s="1"/>
  <c r="Y27" i="60" s="1"/>
  <c r="AH24" i="60"/>
  <c r="AH23" i="60" s="1"/>
  <c r="AH27" i="60" s="1"/>
  <c r="AH39" i="60"/>
  <c r="AH80" i="60"/>
  <c r="AH81" i="60" s="1"/>
  <c r="BC24" i="60"/>
  <c r="BC23" i="60" s="1"/>
  <c r="BC27" i="60" s="1"/>
  <c r="U22" i="60"/>
  <c r="U29" i="60"/>
  <c r="U78" i="60"/>
  <c r="AC23" i="60"/>
  <c r="AC27" i="60" s="1"/>
  <c r="AC39" i="60"/>
  <c r="AC80" i="60"/>
  <c r="AC81" i="60" s="1"/>
  <c r="BC80" i="60"/>
  <c r="BC81" i="60" s="1"/>
  <c r="AB31" i="60"/>
  <c r="AC35" i="60"/>
  <c r="AN29" i="60"/>
  <c r="AN22" i="60"/>
  <c r="AN78" i="60"/>
  <c r="P39" i="60"/>
  <c r="P80" i="60"/>
  <c r="P81" i="60" s="1"/>
  <c r="P24" i="60"/>
  <c r="P23" i="60" s="1"/>
  <c r="P27" i="60" s="1"/>
  <c r="R22" i="60"/>
  <c r="R29" i="60"/>
  <c r="R78" i="60"/>
  <c r="O39" i="60"/>
  <c r="O24" i="60"/>
  <c r="O23" i="60" s="1"/>
  <c r="O27" i="60" s="1"/>
  <c r="O80" i="60"/>
  <c r="O81" i="60" s="1"/>
  <c r="X78" i="60"/>
  <c r="X29" i="60"/>
  <c r="X22" i="60"/>
  <c r="X23" i="60"/>
  <c r="X27" i="60" s="1"/>
  <c r="BB39" i="60"/>
  <c r="BB24" i="60"/>
  <c r="BB23" i="60" s="1"/>
  <c r="BB27" i="60" s="1"/>
  <c r="BB80" i="60"/>
  <c r="BB81" i="60" s="1"/>
  <c r="AY80" i="60"/>
  <c r="AY81" i="60" s="1"/>
  <c r="AY39" i="60"/>
  <c r="AY24" i="60"/>
  <c r="AJ39" i="60"/>
  <c r="AJ24" i="60"/>
  <c r="AJ23" i="60" s="1"/>
  <c r="AJ27" i="60" s="1"/>
  <c r="AJ25" i="60" s="1"/>
  <c r="AJ80" i="60"/>
  <c r="AJ81" i="60" s="1"/>
  <c r="AG39" i="60"/>
  <c r="AG80" i="60"/>
  <c r="AG81" i="60" s="1"/>
  <c r="AG24" i="60"/>
  <c r="AG23" i="60" s="1"/>
  <c r="AG27" i="60" s="1"/>
  <c r="K23" i="60"/>
  <c r="K27" i="60" s="1"/>
  <c r="J39" i="60"/>
  <c r="J80" i="60"/>
  <c r="J81" i="60" s="1"/>
  <c r="J24" i="60"/>
  <c r="J23" i="60" s="1"/>
  <c r="J27" i="60" s="1"/>
  <c r="AN39" i="60"/>
  <c r="AN23" i="60"/>
  <c r="AN27" i="60" s="1"/>
  <c r="AN25" i="60" s="1"/>
  <c r="AN80" i="60"/>
  <c r="AN81" i="60" s="1"/>
  <c r="AE31" i="60"/>
  <c r="AF35" i="60"/>
  <c r="N22" i="60"/>
  <c r="N29" i="60"/>
  <c r="N78" i="60"/>
  <c r="AT80" i="60"/>
  <c r="AT81" i="60" s="1"/>
  <c r="BE39" i="60"/>
  <c r="BE24" i="60"/>
  <c r="BE23" i="60" s="1"/>
  <c r="BE27" i="60" s="1"/>
  <c r="BF22" i="60"/>
  <c r="BF29" i="60"/>
  <c r="AM24" i="60"/>
  <c r="Q80" i="60"/>
  <c r="Q81" i="60" s="1"/>
  <c r="AL80" i="60"/>
  <c r="AL81" i="60" s="1"/>
  <c r="AL35" i="60"/>
  <c r="AK31" i="60"/>
  <c r="AD22" i="60"/>
  <c r="AM39" i="60"/>
  <c r="K39" i="60"/>
  <c r="R23" i="60"/>
  <c r="R27" i="60" s="1"/>
  <c r="H80" i="60"/>
  <c r="H81" i="60" s="1"/>
  <c r="H24" i="60"/>
  <c r="AO24" i="60"/>
  <c r="AO23" i="60" s="1"/>
  <c r="AO27" i="60" s="1"/>
  <c r="AO25" i="60" s="1"/>
  <c r="AO104" i="60" s="1"/>
  <c r="AO106" i="60" s="1"/>
  <c r="BG24" i="60"/>
  <c r="AG35" i="60"/>
  <c r="V24" i="60"/>
  <c r="AS80" i="60"/>
  <c r="AS81" i="60" s="1"/>
  <c r="BF80" i="60"/>
  <c r="BF81" i="60" s="1"/>
  <c r="AZ24" i="60"/>
  <c r="Y35" i="60"/>
  <c r="AW24" i="60"/>
  <c r="M39" i="60"/>
  <c r="M24" i="60"/>
  <c r="AD39" i="60"/>
  <c r="AD23" i="60"/>
  <c r="AD27" i="60" s="1"/>
  <c r="AD80" i="60"/>
  <c r="AD81" i="60" s="1"/>
  <c r="BF39" i="60"/>
  <c r="W24" i="60"/>
  <c r="E80" i="60"/>
  <c r="E81" i="60" s="1"/>
  <c r="AV80" i="60"/>
  <c r="AV81" i="60" s="1"/>
  <c r="F31" i="60"/>
  <c r="G35" i="60"/>
  <c r="R39" i="60"/>
  <c r="H39" i="60"/>
  <c r="AL22" i="60"/>
  <c r="AL78" i="60"/>
  <c r="T24" i="60"/>
  <c r="T39" i="60"/>
  <c r="S24" i="60"/>
  <c r="AA80" i="60"/>
  <c r="AA81" i="60" s="1"/>
  <c r="AA39" i="60"/>
  <c r="AA24" i="60"/>
  <c r="AA23" i="60" s="1"/>
  <c r="AA27" i="60" s="1"/>
  <c r="AQ39" i="60"/>
  <c r="AQ80" i="60"/>
  <c r="AQ81" i="60" s="1"/>
  <c r="AU24" i="60"/>
  <c r="AS39" i="60"/>
  <c r="AS24" i="60"/>
  <c r="AS23" i="60" s="1"/>
  <c r="AS27" i="60" s="1"/>
  <c r="N80" i="60"/>
  <c r="N81" i="60" s="1"/>
  <c r="N23" i="60"/>
  <c r="N27" i="60" s="1"/>
  <c r="L24" i="60"/>
  <c r="L23" i="60" s="1"/>
  <c r="L27" i="60" s="1"/>
  <c r="Z24" i="60"/>
  <c r="F24" i="60"/>
  <c r="AP80" i="60"/>
  <c r="AP81" i="60" s="1"/>
  <c r="G80" i="60"/>
  <c r="G81" i="60" s="1"/>
  <c r="W35" i="60"/>
  <c r="V31" i="60"/>
  <c r="AK39" i="60"/>
  <c r="BF78" i="60"/>
  <c r="BA24" i="60"/>
  <c r="N39" i="60"/>
  <c r="S39" i="60"/>
  <c r="M35" i="60"/>
  <c r="O35" i="60"/>
  <c r="AA35" i="60"/>
  <c r="Q23" i="60" l="1"/>
  <c r="Q27" i="60" s="1"/>
  <c r="BD29" i="60"/>
  <c r="BD103" i="60" s="1"/>
  <c r="AP22" i="60"/>
  <c r="AJ104" i="60"/>
  <c r="AJ106" i="60" s="1"/>
  <c r="Q78" i="60"/>
  <c r="Q79" i="60" s="1"/>
  <c r="AP29" i="60"/>
  <c r="AP103" i="60" s="1"/>
  <c r="AA104" i="60"/>
  <c r="AA106" i="60" s="1"/>
  <c r="M104" i="60"/>
  <c r="M106" i="60" s="1"/>
  <c r="AG104" i="60"/>
  <c r="AG106" i="60" s="1"/>
  <c r="AN104" i="60"/>
  <c r="AN106" i="60" s="1"/>
  <c r="AF104" i="60"/>
  <c r="AF106" i="60" s="1"/>
  <c r="U103" i="60"/>
  <c r="AP23" i="60"/>
  <c r="AP27" i="60" s="1"/>
  <c r="AP97" i="60" s="1"/>
  <c r="U108" i="60"/>
  <c r="U114" i="60" s="1"/>
  <c r="AK23" i="60"/>
  <c r="AK27" i="60" s="1"/>
  <c r="AK104" i="60"/>
  <c r="AK106" i="60" s="1"/>
  <c r="AI104" i="60"/>
  <c r="AI106" i="60" s="1"/>
  <c r="X104" i="60"/>
  <c r="X106" i="60" s="1"/>
  <c r="AK29" i="60"/>
  <c r="AK103" i="60" s="1"/>
  <c r="BF108" i="60"/>
  <c r="BF114" i="60" s="1"/>
  <c r="AC104" i="60"/>
  <c r="AC106" i="60" s="1"/>
  <c r="Z104" i="60"/>
  <c r="Z106" i="60" s="1"/>
  <c r="O104" i="60"/>
  <c r="O106" i="60" s="1"/>
  <c r="W104" i="60"/>
  <c r="W106" i="60" s="1"/>
  <c r="AK22" i="60"/>
  <c r="Y104" i="60"/>
  <c r="Y106" i="60" s="1"/>
  <c r="G22" i="60"/>
  <c r="BD22" i="60"/>
  <c r="AE104" i="60"/>
  <c r="AE106" i="60" s="1"/>
  <c r="Q104" i="60"/>
  <c r="Q106" i="60" s="1"/>
  <c r="Q22" i="60"/>
  <c r="AT29" i="60"/>
  <c r="AT103" i="60" s="1"/>
  <c r="BF97" i="60"/>
  <c r="AL97" i="60"/>
  <c r="AL25" i="60"/>
  <c r="AF82" i="60"/>
  <c r="AF83" i="60" s="1"/>
  <c r="AE29" i="60"/>
  <c r="AE103" i="60" s="1"/>
  <c r="AF29" i="60"/>
  <c r="AF103" i="60" s="1"/>
  <c r="AV22" i="60"/>
  <c r="AL26" i="60"/>
  <c r="G23" i="60"/>
  <c r="G27" i="60" s="1"/>
  <c r="G25" i="60" s="1"/>
  <c r="AE22" i="60"/>
  <c r="AV23" i="60"/>
  <c r="AV27" i="60" s="1"/>
  <c r="AV26" i="60" s="1"/>
  <c r="AE78" i="60"/>
  <c r="AE82" i="60" s="1"/>
  <c r="AE83" i="60" s="1"/>
  <c r="AV29" i="60"/>
  <c r="AV103" i="60" s="1"/>
  <c r="G29" i="60"/>
  <c r="G103" i="60" s="1"/>
  <c r="D78" i="60"/>
  <c r="D79" i="60" s="1"/>
  <c r="X103" i="60"/>
  <c r="E78" i="60"/>
  <c r="E82" i="60" s="1"/>
  <c r="E83" i="60" s="1"/>
  <c r="BD23" i="60"/>
  <c r="BD27" i="60" s="1"/>
  <c r="BD97" i="60" s="1"/>
  <c r="AT78" i="60"/>
  <c r="AT82" i="60" s="1"/>
  <c r="AT83" i="60" s="1"/>
  <c r="E23" i="60"/>
  <c r="E27" i="60" s="1"/>
  <c r="E97" i="60" s="1"/>
  <c r="AT23" i="60"/>
  <c r="AT27" i="60" s="1"/>
  <c r="AT26" i="60" s="1"/>
  <c r="E29" i="60"/>
  <c r="E103" i="60" s="1"/>
  <c r="AD103" i="60"/>
  <c r="AD82" i="60"/>
  <c r="AD83" i="60" s="1"/>
  <c r="BH22" i="60"/>
  <c r="BH78" i="60"/>
  <c r="BH29" i="60"/>
  <c r="BH103" i="60" s="1"/>
  <c r="AF22" i="60"/>
  <c r="D23" i="60"/>
  <c r="D27" i="60" s="1"/>
  <c r="D26" i="60" s="1"/>
  <c r="BH23" i="60"/>
  <c r="BH27" i="60" s="1"/>
  <c r="BH97" i="60" s="1"/>
  <c r="AD79" i="60"/>
  <c r="D29" i="60"/>
  <c r="D103" i="60" s="1"/>
  <c r="AN103" i="60"/>
  <c r="AF23" i="60"/>
  <c r="AF27" i="60" s="1"/>
  <c r="AF97" i="60" s="1"/>
  <c r="AX103" i="60"/>
  <c r="AS97" i="60"/>
  <c r="AS26" i="60"/>
  <c r="AJ97" i="60"/>
  <c r="AJ26" i="60"/>
  <c r="I26" i="60"/>
  <c r="I97" i="60"/>
  <c r="I25" i="60"/>
  <c r="AO97" i="60"/>
  <c r="AO26" i="60"/>
  <c r="AG97" i="60"/>
  <c r="AG26" i="60"/>
  <c r="BA29" i="60"/>
  <c r="BA103" i="60" s="1"/>
  <c r="BA22" i="60"/>
  <c r="BA23" i="60"/>
  <c r="BA27" i="60" s="1"/>
  <c r="BA78" i="60"/>
  <c r="Z22" i="60"/>
  <c r="Z29" i="60"/>
  <c r="Z103" i="60" s="1"/>
  <c r="Z78" i="60"/>
  <c r="M22" i="60"/>
  <c r="M29" i="60"/>
  <c r="M103" i="60" s="1"/>
  <c r="M78" i="60"/>
  <c r="M23" i="60"/>
  <c r="M27" i="60" s="1"/>
  <c r="L97" i="60"/>
  <c r="L26" i="60"/>
  <c r="L25" i="60"/>
  <c r="H22" i="60"/>
  <c r="H78" i="60"/>
  <c r="H29" i="60"/>
  <c r="H103" i="60" s="1"/>
  <c r="H23" i="60"/>
  <c r="H27" i="60" s="1"/>
  <c r="J25" i="60"/>
  <c r="J97" i="60"/>
  <c r="J26" i="60"/>
  <c r="AA97" i="60"/>
  <c r="AA26" i="60"/>
  <c r="X79" i="60"/>
  <c r="X82" i="60"/>
  <c r="X83" i="60" s="1"/>
  <c r="O97" i="60"/>
  <c r="O26" i="60"/>
  <c r="P97" i="60"/>
  <c r="P26" i="60"/>
  <c r="AC97" i="60"/>
  <c r="AC26" i="60"/>
  <c r="E106" i="60"/>
  <c r="AQ103" i="60"/>
  <c r="AR97" i="60"/>
  <c r="AR26" i="60"/>
  <c r="BF79" i="60"/>
  <c r="BF82" i="60"/>
  <c r="BF83" i="60" s="1"/>
  <c r="L29" i="60"/>
  <c r="L103" i="60" s="1"/>
  <c r="L78" i="60"/>
  <c r="L22" i="60"/>
  <c r="AA22" i="60"/>
  <c r="AA29" i="60"/>
  <c r="AA103" i="60" s="1"/>
  <c r="AA78" i="60"/>
  <c r="G82" i="60"/>
  <c r="G83" i="60" s="1"/>
  <c r="BF103" i="60"/>
  <c r="AY22" i="60"/>
  <c r="AY29" i="60"/>
  <c r="AY103" i="60" s="1"/>
  <c r="AY78" i="60"/>
  <c r="X26" i="60"/>
  <c r="X97" i="60"/>
  <c r="U79" i="60"/>
  <c r="U82" i="60"/>
  <c r="U83" i="60" s="1"/>
  <c r="AH22" i="60"/>
  <c r="AH78" i="60"/>
  <c r="AH29" i="60"/>
  <c r="AH103" i="60" s="1"/>
  <c r="AX97" i="60"/>
  <c r="AX26" i="60"/>
  <c r="AB22" i="60"/>
  <c r="AB29" i="60"/>
  <c r="AB103" i="60" s="1"/>
  <c r="AB78" i="60"/>
  <c r="C116" i="60"/>
  <c r="C117" i="60"/>
  <c r="C118" i="60" s="1"/>
  <c r="AQ79" i="60"/>
  <c r="AQ82" i="60"/>
  <c r="AQ83" i="60" s="1"/>
  <c r="K82" i="60"/>
  <c r="K83" i="60" s="1"/>
  <c r="K79" i="60"/>
  <c r="AC79" i="60"/>
  <c r="AC82" i="60"/>
  <c r="AC83" i="60" s="1"/>
  <c r="N97" i="60"/>
  <c r="N26" i="60"/>
  <c r="AU22" i="60"/>
  <c r="AU29" i="60"/>
  <c r="AU103" i="60" s="1"/>
  <c r="AU78" i="60"/>
  <c r="S22" i="60"/>
  <c r="S78" i="60"/>
  <c r="S23" i="60"/>
  <c r="S27" i="60" s="1"/>
  <c r="S29" i="60"/>
  <c r="S103" i="60" s="1"/>
  <c r="AD26" i="60"/>
  <c r="AD97" i="60"/>
  <c r="AW22" i="60"/>
  <c r="AW78" i="60"/>
  <c r="AW29" i="60"/>
  <c r="AW103" i="60" s="1"/>
  <c r="AW23" i="60"/>
  <c r="AW27" i="60" s="1"/>
  <c r="BG22" i="60"/>
  <c r="BG29" i="60"/>
  <c r="BG103" i="60" s="1"/>
  <c r="BG78" i="60"/>
  <c r="BG23" i="60"/>
  <c r="BG27" i="60" s="1"/>
  <c r="AU23" i="60"/>
  <c r="AU27" i="60" s="1"/>
  <c r="N103" i="60"/>
  <c r="AY23" i="60"/>
  <c r="AY27" i="60" s="1"/>
  <c r="BB78" i="60"/>
  <c r="BB22" i="60"/>
  <c r="BB29" i="60"/>
  <c r="BB103" i="60" s="1"/>
  <c r="P22" i="60"/>
  <c r="P78" i="60"/>
  <c r="P29" i="60"/>
  <c r="P103" i="60" s="1"/>
  <c r="AN79" i="60"/>
  <c r="AN82" i="60"/>
  <c r="AN83" i="60" s="1"/>
  <c r="BC97" i="60"/>
  <c r="BC26" i="60"/>
  <c r="BC22" i="60"/>
  <c r="BC78" i="60"/>
  <c r="BC29" i="60"/>
  <c r="BC103" i="60" s="1"/>
  <c r="AX79" i="60"/>
  <c r="AX82" i="60"/>
  <c r="AX83" i="60" s="1"/>
  <c r="AB23" i="60"/>
  <c r="AB27" i="60" s="1"/>
  <c r="AC103" i="60"/>
  <c r="AS22" i="60"/>
  <c r="AS29" i="60"/>
  <c r="AS103" i="60" s="1"/>
  <c r="AS78" i="60"/>
  <c r="T29" i="60"/>
  <c r="T103" i="60" s="1"/>
  <c r="T78" i="60"/>
  <c r="T22" i="60"/>
  <c r="T23" i="60"/>
  <c r="T27" i="60" s="1"/>
  <c r="AZ29" i="60"/>
  <c r="AZ103" i="60" s="1"/>
  <c r="AZ22" i="60"/>
  <c r="AZ78" i="60"/>
  <c r="AZ23" i="60"/>
  <c r="AZ27" i="60" s="1"/>
  <c r="Z23" i="60"/>
  <c r="Z27" i="60" s="1"/>
  <c r="R97" i="60"/>
  <c r="R26" i="60"/>
  <c r="AM22" i="60"/>
  <c r="AM29" i="60"/>
  <c r="AM103" i="60" s="1"/>
  <c r="AM78" i="60"/>
  <c r="AM23" i="60"/>
  <c r="AM27" i="60" s="1"/>
  <c r="AM25" i="60" s="1"/>
  <c r="AN97" i="60"/>
  <c r="AN26" i="60"/>
  <c r="AG22" i="60"/>
  <c r="AG78" i="60"/>
  <c r="AG29" i="60"/>
  <c r="AG103" i="60" s="1"/>
  <c r="R103" i="60"/>
  <c r="AH26" i="60"/>
  <c r="AH97" i="60"/>
  <c r="Y97" i="60"/>
  <c r="Y26" i="60"/>
  <c r="I29" i="60"/>
  <c r="I103" i="60" s="1"/>
  <c r="I22" i="60"/>
  <c r="I78" i="60"/>
  <c r="AI26" i="60"/>
  <c r="AI97" i="60"/>
  <c r="AL79" i="60"/>
  <c r="AL82" i="60"/>
  <c r="AL83" i="60" s="1"/>
  <c r="W78" i="60"/>
  <c r="W22" i="60"/>
  <c r="W29" i="60"/>
  <c r="W103" i="60" s="1"/>
  <c r="W23" i="60"/>
  <c r="W27" i="60" s="1"/>
  <c r="AE97" i="60"/>
  <c r="AE26" i="60"/>
  <c r="N82" i="60"/>
  <c r="N83" i="60" s="1"/>
  <c r="N79" i="60"/>
  <c r="O22" i="60"/>
  <c r="O78" i="60"/>
  <c r="O29" i="60"/>
  <c r="O103" i="60" s="1"/>
  <c r="BD82" i="60"/>
  <c r="BD83" i="60" s="1"/>
  <c r="BD79" i="60"/>
  <c r="F22" i="60"/>
  <c r="F78" i="60"/>
  <c r="F23" i="60"/>
  <c r="F27" i="60" s="1"/>
  <c r="F29" i="60"/>
  <c r="F103" i="60" s="1"/>
  <c r="BE26" i="60"/>
  <c r="BE97" i="60"/>
  <c r="V22" i="60"/>
  <c r="V29" i="60"/>
  <c r="V103" i="60" s="1"/>
  <c r="V23" i="60"/>
  <c r="V27" i="60" s="1"/>
  <c r="V78" i="60"/>
  <c r="AO22" i="60"/>
  <c r="AO78" i="60"/>
  <c r="AO29" i="60"/>
  <c r="AO103" i="60" s="1"/>
  <c r="Q97" i="60"/>
  <c r="Q26" i="60"/>
  <c r="BE22" i="60"/>
  <c r="BE29" i="60"/>
  <c r="BE103" i="60" s="1"/>
  <c r="BE78" i="60"/>
  <c r="J22" i="60"/>
  <c r="J29" i="60"/>
  <c r="J103" i="60" s="1"/>
  <c r="J78" i="60"/>
  <c r="K97" i="60"/>
  <c r="K25" i="60"/>
  <c r="K26" i="60"/>
  <c r="AJ78" i="60"/>
  <c r="AJ22" i="60"/>
  <c r="AJ29" i="60"/>
  <c r="AJ103" i="60" s="1"/>
  <c r="BB97" i="60"/>
  <c r="BB26" i="60"/>
  <c r="R79" i="60"/>
  <c r="R82" i="60"/>
  <c r="R83" i="60" s="1"/>
  <c r="AV79" i="60"/>
  <c r="AV82" i="60"/>
  <c r="AV83" i="60" s="1"/>
  <c r="Y29" i="60"/>
  <c r="Y103" i="60" s="1"/>
  <c r="Y78" i="60"/>
  <c r="Y22" i="60"/>
  <c r="AQ97" i="60"/>
  <c r="AQ26" i="60"/>
  <c r="K103" i="60"/>
  <c r="AP82" i="60"/>
  <c r="AP83" i="60" s="1"/>
  <c r="AP79" i="60"/>
  <c r="AI22" i="60"/>
  <c r="AI29" i="60"/>
  <c r="AI103" i="60" s="1"/>
  <c r="AI78" i="60"/>
  <c r="AR22" i="60"/>
  <c r="AR29" i="60"/>
  <c r="AR103" i="60" s="1"/>
  <c r="AR78" i="60"/>
  <c r="U111" i="60" l="1"/>
  <c r="Q82" i="60"/>
  <c r="Q83" i="60" s="1"/>
  <c r="AP26" i="60"/>
  <c r="AP108" i="60" s="1"/>
  <c r="E79" i="60"/>
  <c r="G26" i="60"/>
  <c r="G108" i="60" s="1"/>
  <c r="G109" i="60" s="1"/>
  <c r="G97" i="60"/>
  <c r="U117" i="60"/>
  <c r="D108" i="60"/>
  <c r="D114" i="60" s="1"/>
  <c r="G104" i="60"/>
  <c r="G106" i="60" s="1"/>
  <c r="BB108" i="60"/>
  <c r="BB109" i="60" s="1"/>
  <c r="K104" i="60"/>
  <c r="K106" i="60" s="1"/>
  <c r="Q108" i="60"/>
  <c r="Q114" i="60" s="1"/>
  <c r="Q117" i="60" s="1"/>
  <c r="AH108" i="60"/>
  <c r="AH111" i="60" s="1"/>
  <c r="L104" i="60"/>
  <c r="L106" i="60" s="1"/>
  <c r="AO108" i="60"/>
  <c r="AO114" i="60" s="1"/>
  <c r="AO117" i="60" s="1"/>
  <c r="I108" i="60"/>
  <c r="I114" i="60" s="1"/>
  <c r="AV108" i="60"/>
  <c r="AV114" i="60" s="1"/>
  <c r="AV117" i="60" s="1"/>
  <c r="AL104" i="60"/>
  <c r="AL106" i="60" s="1"/>
  <c r="BE108" i="60"/>
  <c r="BE109" i="60" s="1"/>
  <c r="AI108" i="60"/>
  <c r="AI114" i="60" s="1"/>
  <c r="AI117" i="60" s="1"/>
  <c r="Y108" i="60"/>
  <c r="Y111" i="60" s="1"/>
  <c r="AN108" i="60"/>
  <c r="AN109" i="60" s="1"/>
  <c r="U109" i="60"/>
  <c r="AX108" i="60"/>
  <c r="AX114" i="60" s="1"/>
  <c r="AX117" i="60" s="1"/>
  <c r="X108" i="60"/>
  <c r="X111" i="60" s="1"/>
  <c r="P108" i="60"/>
  <c r="P114" i="60" s="1"/>
  <c r="P117" i="60" s="1"/>
  <c r="J108" i="60"/>
  <c r="J114" i="60" s="1"/>
  <c r="L108" i="60"/>
  <c r="L114" i="60" s="1"/>
  <c r="AJ108" i="60"/>
  <c r="AJ111" i="60" s="1"/>
  <c r="AK26" i="60"/>
  <c r="AK97" i="60"/>
  <c r="AD108" i="60"/>
  <c r="AD111" i="60" s="1"/>
  <c r="N108" i="60"/>
  <c r="N111" i="60" s="1"/>
  <c r="AG108" i="60"/>
  <c r="AG109" i="60" s="1"/>
  <c r="I104" i="60"/>
  <c r="I106" i="60" s="1"/>
  <c r="D97" i="60"/>
  <c r="D25" i="60"/>
  <c r="D104" i="60" s="1"/>
  <c r="D106" i="60" s="1"/>
  <c r="AT108" i="60"/>
  <c r="AT111" i="60" s="1"/>
  <c r="AQ108" i="60"/>
  <c r="AQ111" i="60" s="1"/>
  <c r="K108" i="60"/>
  <c r="K114" i="60" s="1"/>
  <c r="AE108" i="60"/>
  <c r="AE111" i="60" s="1"/>
  <c r="AM104" i="60"/>
  <c r="AM106" i="60" s="1"/>
  <c r="R108" i="60"/>
  <c r="R109" i="60" s="1"/>
  <c r="BC108" i="60"/>
  <c r="BC114" i="60" s="1"/>
  <c r="BC117" i="60" s="1"/>
  <c r="D82" i="60"/>
  <c r="D83" i="60" s="1"/>
  <c r="AR108" i="60"/>
  <c r="AR114" i="60" s="1"/>
  <c r="AR117" i="60" s="1"/>
  <c r="AC108" i="60"/>
  <c r="AC111" i="60" s="1"/>
  <c r="O108" i="60"/>
  <c r="O114" i="60" s="1"/>
  <c r="O117" i="60" s="1"/>
  <c r="AA108" i="60"/>
  <c r="AA114" i="60" s="1"/>
  <c r="AA117" i="60" s="1"/>
  <c r="J104" i="60"/>
  <c r="J106" i="60" s="1"/>
  <c r="AS108" i="60"/>
  <c r="AS111" i="60" s="1"/>
  <c r="AL108" i="60"/>
  <c r="AL114" i="60" s="1"/>
  <c r="BH26" i="60"/>
  <c r="AE79" i="60"/>
  <c r="BD26" i="60"/>
  <c r="AV97" i="60"/>
  <c r="AV109" i="60"/>
  <c r="AT97" i="60"/>
  <c r="AT79" i="60"/>
  <c r="E26" i="60"/>
  <c r="E108" i="60" s="1"/>
  <c r="AF26" i="60"/>
  <c r="BH79" i="60"/>
  <c r="BH82" i="60"/>
  <c r="BH83" i="60" s="1"/>
  <c r="AX109" i="60"/>
  <c r="Y79" i="60"/>
  <c r="Y82" i="60"/>
  <c r="Y83" i="60" s="1"/>
  <c r="F97" i="60"/>
  <c r="F25" i="60"/>
  <c r="F104" i="60" s="1"/>
  <c r="F26" i="60"/>
  <c r="I79" i="60"/>
  <c r="I82" i="60"/>
  <c r="I83" i="60" s="1"/>
  <c r="BC111" i="60"/>
  <c r="AW97" i="60"/>
  <c r="AW26" i="60"/>
  <c r="S79" i="60"/>
  <c r="S82" i="60"/>
  <c r="S83" i="60" s="1"/>
  <c r="AJ79" i="60"/>
  <c r="AJ82" i="60"/>
  <c r="AJ83" i="60" s="1"/>
  <c r="V79" i="60"/>
  <c r="V82" i="60"/>
  <c r="V83" i="60" s="1"/>
  <c r="T79" i="60"/>
  <c r="T82" i="60"/>
  <c r="T83" i="60" s="1"/>
  <c r="J111" i="60"/>
  <c r="BE82" i="60"/>
  <c r="BE83" i="60" s="1"/>
  <c r="BE79" i="60"/>
  <c r="V26" i="60"/>
  <c r="V97" i="60"/>
  <c r="O79" i="60"/>
  <c r="O82" i="60"/>
  <c r="O83" i="60" s="1"/>
  <c r="W79" i="60"/>
  <c r="W82" i="60"/>
  <c r="W83" i="60" s="1"/>
  <c r="Z97" i="60"/>
  <c r="Z26" i="60"/>
  <c r="P79" i="60"/>
  <c r="P82" i="60"/>
  <c r="P83" i="60" s="1"/>
  <c r="AW79" i="60"/>
  <c r="AW82" i="60"/>
  <c r="AW83" i="60" s="1"/>
  <c r="AU79" i="60"/>
  <c r="AU82" i="60"/>
  <c r="AU83" i="60" s="1"/>
  <c r="BF111" i="60"/>
  <c r="BF109" i="60"/>
  <c r="BF117" i="60"/>
  <c r="M97" i="60"/>
  <c r="M26" i="60"/>
  <c r="Z79" i="60"/>
  <c r="Z82" i="60"/>
  <c r="Z83" i="60" s="1"/>
  <c r="BA97" i="60"/>
  <c r="BA26" i="60"/>
  <c r="AG82" i="60"/>
  <c r="AG83" i="60" s="1"/>
  <c r="AG79" i="60"/>
  <c r="AM26" i="60"/>
  <c r="AM97" i="60"/>
  <c r="AZ79" i="60"/>
  <c r="AZ82" i="60"/>
  <c r="AZ83" i="60" s="1"/>
  <c r="BB82" i="60"/>
  <c r="BB83" i="60" s="1"/>
  <c r="BB79" i="60"/>
  <c r="BG97" i="60"/>
  <c r="BG26" i="60"/>
  <c r="AB82" i="60"/>
  <c r="AB83" i="60" s="1"/>
  <c r="AB79" i="60"/>
  <c r="AH79" i="60"/>
  <c r="AH82" i="60"/>
  <c r="AH83" i="60" s="1"/>
  <c r="AA79" i="60"/>
  <c r="AA82" i="60"/>
  <c r="AA83" i="60" s="1"/>
  <c r="L79" i="60"/>
  <c r="L82" i="60"/>
  <c r="L83" i="60" s="1"/>
  <c r="Y109" i="60"/>
  <c r="J79" i="60"/>
  <c r="J82" i="60"/>
  <c r="J83" i="60" s="1"/>
  <c r="F82" i="60"/>
  <c r="F83" i="60" s="1"/>
  <c r="F79" i="60"/>
  <c r="O109" i="60"/>
  <c r="AM82" i="60"/>
  <c r="AM83" i="60" s="1"/>
  <c r="AM79" i="60"/>
  <c r="BC79" i="60"/>
  <c r="BC82" i="60"/>
  <c r="BC83" i="60" s="1"/>
  <c r="AY97" i="60"/>
  <c r="AY26" i="60"/>
  <c r="BG79" i="60"/>
  <c r="BG82" i="60"/>
  <c r="BG83" i="60" s="1"/>
  <c r="C121" i="60"/>
  <c r="C122" i="60" s="1"/>
  <c r="H82" i="60"/>
  <c r="H83" i="60" s="1"/>
  <c r="H79" i="60"/>
  <c r="BA79" i="60"/>
  <c r="BA82" i="60"/>
  <c r="BA83" i="60" s="1"/>
  <c r="AR79" i="60"/>
  <c r="AR82" i="60"/>
  <c r="AR83" i="60" s="1"/>
  <c r="AI79" i="60"/>
  <c r="AI82" i="60"/>
  <c r="AI83" i="60" s="1"/>
  <c r="G114" i="60"/>
  <c r="G111" i="60"/>
  <c r="AO79" i="60"/>
  <c r="AO82" i="60"/>
  <c r="AO83" i="60" s="1"/>
  <c r="W26" i="60"/>
  <c r="W97" i="60"/>
  <c r="AZ97" i="60"/>
  <c r="AZ26" i="60"/>
  <c r="T97" i="60"/>
  <c r="T26" i="60"/>
  <c r="AS82" i="60"/>
  <c r="AS83" i="60" s="1"/>
  <c r="AS79" i="60"/>
  <c r="AB97" i="60"/>
  <c r="AB26" i="60"/>
  <c r="AU97" i="60"/>
  <c r="AU26" i="60"/>
  <c r="S97" i="60"/>
  <c r="S26" i="60"/>
  <c r="AH109" i="60"/>
  <c r="AY79" i="60"/>
  <c r="AY82" i="60"/>
  <c r="AY83" i="60" s="1"/>
  <c r="H97" i="60"/>
  <c r="H25" i="60"/>
  <c r="H26" i="60"/>
  <c r="M82" i="60"/>
  <c r="M83" i="60" s="1"/>
  <c r="M79" i="60"/>
  <c r="AA109" i="60" l="1"/>
  <c r="AI109" i="60"/>
  <c r="K109" i="60"/>
  <c r="O111" i="60"/>
  <c r="L109" i="60"/>
  <c r="I109" i="60"/>
  <c r="AP114" i="60"/>
  <c r="AP117" i="60" s="1"/>
  <c r="AP111" i="60"/>
  <c r="AP109" i="60"/>
  <c r="AD114" i="60"/>
  <c r="AD117" i="60" s="1"/>
  <c r="AJ109" i="60"/>
  <c r="AR109" i="60"/>
  <c r="AN111" i="60"/>
  <c r="BB111" i="60"/>
  <c r="AL117" i="60"/>
  <c r="BB114" i="60"/>
  <c r="BB117" i="60" s="1"/>
  <c r="AD109" i="60"/>
  <c r="AJ114" i="60"/>
  <c r="AJ117" i="60" s="1"/>
  <c r="AR111" i="60"/>
  <c r="X109" i="60"/>
  <c r="AT109" i="60"/>
  <c r="I111" i="60"/>
  <c r="BE111" i="60"/>
  <c r="K111" i="60"/>
  <c r="AA111" i="60"/>
  <c r="D109" i="60"/>
  <c r="D110" i="60" s="1"/>
  <c r="D112" i="60" s="1"/>
  <c r="I117" i="60"/>
  <c r="D116" i="60"/>
  <c r="D117" i="60"/>
  <c r="D118" i="60" s="1"/>
  <c r="D121" i="60" s="1"/>
  <c r="D122" i="60" s="1"/>
  <c r="AL109" i="60"/>
  <c r="Q109" i="60"/>
  <c r="AO109" i="60"/>
  <c r="AT114" i="60"/>
  <c r="AT117" i="60" s="1"/>
  <c r="X114" i="60"/>
  <c r="X117" i="60" s="1"/>
  <c r="AN114" i="60"/>
  <c r="AN117" i="60" s="1"/>
  <c r="L117" i="60"/>
  <c r="K117" i="60"/>
  <c r="AV111" i="60"/>
  <c r="AI111" i="60"/>
  <c r="P109" i="60"/>
  <c r="AO111" i="60"/>
  <c r="J109" i="60"/>
  <c r="D111" i="60"/>
  <c r="AL111" i="60"/>
  <c r="J117" i="60"/>
  <c r="AQ109" i="60"/>
  <c r="Q111" i="60"/>
  <c r="BC109" i="60"/>
  <c r="T108" i="60"/>
  <c r="T114" i="60" s="1"/>
  <c r="T117" i="60" s="1"/>
  <c r="W108" i="60"/>
  <c r="W114" i="60" s="1"/>
  <c r="W117" i="60" s="1"/>
  <c r="BD108" i="60"/>
  <c r="BD111" i="60" s="1"/>
  <c r="AU108" i="60"/>
  <c r="AU114" i="60" s="1"/>
  <c r="AU117" i="60" s="1"/>
  <c r="AG111" i="60"/>
  <c r="BG108" i="60"/>
  <c r="BG114" i="60" s="1"/>
  <c r="BG117" i="60" s="1"/>
  <c r="AF108" i="60"/>
  <c r="AF111" i="60" s="1"/>
  <c r="AE114" i="60"/>
  <c r="AE117" i="60" s="1"/>
  <c r="AQ114" i="60"/>
  <c r="AQ117" i="60" s="1"/>
  <c r="AG114" i="60"/>
  <c r="AG117" i="60" s="1"/>
  <c r="N114" i="60"/>
  <c r="N117" i="60" s="1"/>
  <c r="H108" i="60"/>
  <c r="H114" i="60" s="1"/>
  <c r="AX111" i="60"/>
  <c r="AZ108" i="60"/>
  <c r="AZ114" i="60" s="1"/>
  <c r="AZ117" i="60" s="1"/>
  <c r="G117" i="60"/>
  <c r="AY108" i="60"/>
  <c r="AY114" i="60" s="1"/>
  <c r="AY117" i="60" s="1"/>
  <c r="P111" i="60"/>
  <c r="AS109" i="60"/>
  <c r="N109" i="60"/>
  <c r="AC109" i="60"/>
  <c r="V108" i="60"/>
  <c r="V114" i="60" s="1"/>
  <c r="V117" i="60" s="1"/>
  <c r="L111" i="60"/>
  <c r="F108" i="60"/>
  <c r="F111" i="60" s="1"/>
  <c r="AE109" i="60"/>
  <c r="AS114" i="60"/>
  <c r="AS117" i="60" s="1"/>
  <c r="AC114" i="60"/>
  <c r="AC117" i="60" s="1"/>
  <c r="Y114" i="60"/>
  <c r="Y117" i="60" s="1"/>
  <c r="BE114" i="60"/>
  <c r="BE117" i="60" s="1"/>
  <c r="AH114" i="60"/>
  <c r="AH117" i="60" s="1"/>
  <c r="AB108" i="60"/>
  <c r="AB114" i="60" s="1"/>
  <c r="AB117" i="60" s="1"/>
  <c r="Z108" i="60"/>
  <c r="Z111" i="60" s="1"/>
  <c r="R111" i="60"/>
  <c r="R114" i="60"/>
  <c r="R117" i="60" s="1"/>
  <c r="AK108" i="60"/>
  <c r="AK114" i="60" s="1"/>
  <c r="AK117" i="60" s="1"/>
  <c r="H104" i="60"/>
  <c r="H106" i="60" s="1"/>
  <c r="S108" i="60"/>
  <c r="S109" i="60" s="1"/>
  <c r="AM108" i="60"/>
  <c r="AM114" i="60" s="1"/>
  <c r="AM117" i="60" s="1"/>
  <c r="BA108" i="60"/>
  <c r="BA114" i="60" s="1"/>
  <c r="BA117" i="60" s="1"/>
  <c r="M108" i="60"/>
  <c r="M114" i="60" s="1"/>
  <c r="M117" i="60" s="1"/>
  <c r="AW108" i="60"/>
  <c r="AW111" i="60" s="1"/>
  <c r="BH108" i="60"/>
  <c r="BH109" i="60" s="1"/>
  <c r="E114" i="60"/>
  <c r="E111" i="60"/>
  <c r="E109" i="60"/>
  <c r="AY109" i="60"/>
  <c r="AU111" i="60"/>
  <c r="F106" i="60"/>
  <c r="C125" i="60"/>
  <c r="F109" i="60" l="1"/>
  <c r="H109" i="60"/>
  <c r="V109" i="60"/>
  <c r="H117" i="60"/>
  <c r="AU109" i="60"/>
  <c r="W109" i="60"/>
  <c r="T111" i="60"/>
  <c r="BG111" i="60"/>
  <c r="AM111" i="60"/>
  <c r="BH114" i="60"/>
  <c r="BH117" i="60" s="1"/>
  <c r="T109" i="60"/>
  <c r="BD109" i="60"/>
  <c r="BA111" i="60"/>
  <c r="E110" i="60"/>
  <c r="E112" i="60" s="1"/>
  <c r="AF109" i="60"/>
  <c r="AZ111" i="60"/>
  <c r="BG109" i="60"/>
  <c r="AZ109" i="60"/>
  <c r="BH111" i="60"/>
  <c r="AY111" i="60"/>
  <c r="AM109" i="60"/>
  <c r="W111" i="60"/>
  <c r="M111" i="60"/>
  <c r="AB109" i="60"/>
  <c r="BA109" i="60"/>
  <c r="S111" i="60"/>
  <c r="AB111" i="60"/>
  <c r="F114" i="60"/>
  <c r="F117" i="60" s="1"/>
  <c r="BD114" i="60"/>
  <c r="BD117" i="60" s="1"/>
  <c r="AW114" i="60"/>
  <c r="AW117" i="60" s="1"/>
  <c r="S114" i="60"/>
  <c r="S117" i="60" s="1"/>
  <c r="Z114" i="60"/>
  <c r="Z117" i="60" s="1"/>
  <c r="AF114" i="60"/>
  <c r="AF117" i="60" s="1"/>
  <c r="AW109" i="60"/>
  <c r="Z109" i="60"/>
  <c r="H111" i="60"/>
  <c r="V111" i="60"/>
  <c r="M109" i="60"/>
  <c r="S110" i="60" s="1"/>
  <c r="AK111" i="60"/>
  <c r="AK109" i="60"/>
  <c r="G110" i="60"/>
  <c r="F110" i="60"/>
  <c r="E117" i="60"/>
  <c r="E118" i="60" s="1"/>
  <c r="E121" i="60" s="1"/>
  <c r="E122" i="60" s="1"/>
  <c r="E116" i="60"/>
  <c r="F116" i="60" s="1"/>
  <c r="G116" i="60" s="1"/>
  <c r="H116" i="60" s="1"/>
  <c r="I116" i="60" s="1"/>
  <c r="J116" i="60" s="1"/>
  <c r="K116" i="60" s="1"/>
  <c r="L116" i="60" s="1"/>
  <c r="M116" i="60" s="1"/>
  <c r="N116" i="60" s="1"/>
  <c r="O116" i="60" s="1"/>
  <c r="P116" i="60" s="1"/>
  <c r="Q116" i="60" s="1"/>
  <c r="R116" i="60" s="1"/>
  <c r="X110" i="60"/>
  <c r="K110" i="60"/>
  <c r="L110" i="60"/>
  <c r="Q110" i="60"/>
  <c r="T110" i="60"/>
  <c r="W110" i="60"/>
  <c r="P110" i="60"/>
  <c r="I110" i="60"/>
  <c r="J110" i="60"/>
  <c r="H110" i="60"/>
  <c r="D125" i="60"/>
  <c r="AN110" i="60" l="1"/>
  <c r="AK110" i="60"/>
  <c r="AF110" i="60"/>
  <c r="AQ110" i="60"/>
  <c r="AC110" i="60"/>
  <c r="F112" i="60"/>
  <c r="G112" i="60" s="1"/>
  <c r="H112" i="60" s="1"/>
  <c r="I112" i="60" s="1"/>
  <c r="BB110" i="60"/>
  <c r="AT110" i="60"/>
  <c r="O110" i="60"/>
  <c r="U110" i="60"/>
  <c r="R110" i="60"/>
  <c r="N110" i="60"/>
  <c r="BA110" i="60"/>
  <c r="V110" i="60"/>
  <c r="AL110" i="60"/>
  <c r="Y110" i="60"/>
  <c r="M110" i="60"/>
  <c r="AD110" i="60"/>
  <c r="AG110" i="60"/>
  <c r="AB110" i="60"/>
  <c r="BC110" i="60"/>
  <c r="BG110" i="60"/>
  <c r="BD110" i="60"/>
  <c r="Z110" i="60"/>
  <c r="AR110" i="60"/>
  <c r="BE110" i="60"/>
  <c r="AX110" i="60"/>
  <c r="AV110" i="60"/>
  <c r="AA110" i="60"/>
  <c r="AJ110" i="60"/>
  <c r="AO110" i="60"/>
  <c r="AM110" i="60"/>
  <c r="AW110" i="60"/>
  <c r="AY110" i="60"/>
  <c r="AU110" i="60"/>
  <c r="AI110" i="60"/>
  <c r="BH110" i="60"/>
  <c r="AH110" i="60"/>
  <c r="AP110" i="60"/>
  <c r="AE110" i="60"/>
  <c r="BF110" i="60"/>
  <c r="AS110" i="60"/>
  <c r="AZ110" i="60"/>
  <c r="S116" i="60"/>
  <c r="T116" i="60" s="1"/>
  <c r="U116" i="60" s="1"/>
  <c r="V116" i="60" s="1"/>
  <c r="W116" i="60" s="1"/>
  <c r="X116" i="60" s="1"/>
  <c r="Y116" i="60" s="1"/>
  <c r="Z116" i="60" s="1"/>
  <c r="AA116" i="60" s="1"/>
  <c r="AB116" i="60" s="1"/>
  <c r="AC116" i="60" s="1"/>
  <c r="AD116" i="60" s="1"/>
  <c r="AE116" i="60" s="1"/>
  <c r="AF116" i="60" s="1"/>
  <c r="AG116" i="60" s="1"/>
  <c r="AH116" i="60" s="1"/>
  <c r="AI116" i="60" s="1"/>
  <c r="AJ116" i="60" s="1"/>
  <c r="AK116" i="60" s="1"/>
  <c r="AL116" i="60" s="1"/>
  <c r="AM116" i="60" s="1"/>
  <c r="AN116" i="60" s="1"/>
  <c r="AO116" i="60" s="1"/>
  <c r="AP116" i="60" s="1"/>
  <c r="AQ116" i="60" s="1"/>
  <c r="AR116" i="60" s="1"/>
  <c r="AS116" i="60" s="1"/>
  <c r="AT116" i="60" s="1"/>
  <c r="AU116" i="60" s="1"/>
  <c r="AV116" i="60" s="1"/>
  <c r="AW116" i="60" s="1"/>
  <c r="AX116" i="60" s="1"/>
  <c r="AY116" i="60" s="1"/>
  <c r="AZ116" i="60" s="1"/>
  <c r="BA116" i="60" s="1"/>
  <c r="BB116" i="60" s="1"/>
  <c r="BC116" i="60" s="1"/>
  <c r="BD116" i="60" s="1"/>
  <c r="BE116" i="60" s="1"/>
  <c r="BF116" i="60" s="1"/>
  <c r="BG116" i="60" s="1"/>
  <c r="BH116" i="60" s="1"/>
  <c r="F118" i="60"/>
  <c r="F121" i="60" s="1"/>
  <c r="E125" i="60"/>
  <c r="J112" i="60" l="1"/>
  <c r="F122" i="60"/>
  <c r="F125" i="60"/>
  <c r="G118" i="60"/>
  <c r="K112" i="60" l="1"/>
  <c r="G121" i="60"/>
  <c r="G122" i="60" s="1"/>
  <c r="L112" i="60" l="1"/>
  <c r="G125" i="60"/>
  <c r="H118" i="60"/>
  <c r="H121" i="60" l="1"/>
  <c r="H122" i="60" s="1"/>
  <c r="M112" i="60"/>
  <c r="H125" i="60" l="1"/>
  <c r="I118" i="60"/>
  <c r="N112" i="60"/>
  <c r="O112" i="60" s="1"/>
  <c r="P112" i="60" s="1"/>
  <c r="Q112" i="60" s="1"/>
  <c r="R112" i="60" s="1"/>
  <c r="S112" i="60" s="1"/>
  <c r="T112" i="60" s="1"/>
  <c r="U112" i="60" s="1"/>
  <c r="V112" i="60" s="1"/>
  <c r="W112" i="60" s="1"/>
  <c r="X112" i="60" s="1"/>
  <c r="Y112" i="60" s="1"/>
  <c r="Z112" i="60" s="1"/>
  <c r="AA112" i="60" s="1"/>
  <c r="AB112" i="60" s="1"/>
  <c r="AC112" i="60" s="1"/>
  <c r="AD112" i="60" s="1"/>
  <c r="AE112" i="60" s="1"/>
  <c r="AF112" i="60" s="1"/>
  <c r="AG112" i="60" s="1"/>
  <c r="AH112" i="60" s="1"/>
  <c r="AI112" i="60" s="1"/>
  <c r="AJ112" i="60" s="1"/>
  <c r="AK112" i="60" s="1"/>
  <c r="AL112" i="60" s="1"/>
  <c r="AM112" i="60" s="1"/>
  <c r="W123" i="60" l="1"/>
  <c r="AN112" i="60"/>
  <c r="AO112" i="60" s="1"/>
  <c r="AP112" i="60" s="1"/>
  <c r="AQ112" i="60" s="1"/>
  <c r="AR112" i="60" s="1"/>
  <c r="AS112" i="60" s="1"/>
  <c r="AT112" i="60" s="1"/>
  <c r="AU112" i="60" s="1"/>
  <c r="AV112" i="60" s="1"/>
  <c r="AW112" i="60" s="1"/>
  <c r="AX112" i="60" s="1"/>
  <c r="AY112" i="60" s="1"/>
  <c r="AZ112" i="60" s="1"/>
  <c r="BA112" i="60" s="1"/>
  <c r="BB112" i="60" s="1"/>
  <c r="BC112" i="60" s="1"/>
  <c r="BD112" i="60" s="1"/>
  <c r="BE112" i="60" s="1"/>
  <c r="BF112" i="60" s="1"/>
  <c r="BG112" i="60" s="1"/>
  <c r="BH112" i="60" s="1"/>
  <c r="M123" i="60"/>
  <c r="S123" i="60"/>
  <c r="J123" i="60"/>
  <c r="AX123" i="60"/>
  <c r="C123" i="60"/>
  <c r="D123" i="60"/>
  <c r="AK123" i="60"/>
  <c r="AY123" i="60"/>
  <c r="AU123" i="60"/>
  <c r="F123" i="60"/>
  <c r="AT123" i="60"/>
  <c r="AD123" i="60"/>
  <c r="BG123" i="60"/>
  <c r="BH123" i="60"/>
  <c r="AV123" i="60"/>
  <c r="X123" i="60"/>
  <c r="AL123" i="60"/>
  <c r="H123" i="60"/>
  <c r="BD123" i="60"/>
  <c r="U123" i="60"/>
  <c r="BC123" i="60"/>
  <c r="AP123" i="60"/>
  <c r="AC123" i="60"/>
  <c r="AQ123" i="60"/>
  <c r="AJ123" i="60"/>
  <c r="AE123" i="60"/>
  <c r="G123" i="60"/>
  <c r="AN123" i="60"/>
  <c r="AR123" i="60"/>
  <c r="BF123" i="60"/>
  <c r="BE123" i="60"/>
  <c r="AA123" i="60"/>
  <c r="AZ123" i="60"/>
  <c r="AW123" i="60"/>
  <c r="Z123" i="60"/>
  <c r="AO123" i="60"/>
  <c r="AG123" i="60"/>
  <c r="Q123" i="60"/>
  <c r="BB123" i="60"/>
  <c r="BA123" i="60"/>
  <c r="E123" i="60"/>
  <c r="AF123" i="60"/>
  <c r="AI123" i="60"/>
  <c r="L123" i="60"/>
  <c r="AB123" i="60"/>
  <c r="Y123" i="60"/>
  <c r="R123" i="60"/>
  <c r="AH123" i="60"/>
  <c r="I123" i="60"/>
  <c r="K123" i="60"/>
  <c r="AS123" i="60"/>
  <c r="AM123" i="60"/>
  <c r="T123" i="60"/>
  <c r="I121" i="60"/>
  <c r="I122" i="60" s="1"/>
  <c r="O123" i="60"/>
  <c r="V123" i="60"/>
  <c r="P123" i="60"/>
  <c r="N123" i="60"/>
  <c r="I125" i="60" l="1"/>
  <c r="J118" i="60"/>
  <c r="J121" i="60" l="1"/>
  <c r="J122" i="60" s="1"/>
  <c r="K118" i="60" l="1"/>
  <c r="J125" i="60"/>
  <c r="K121" i="60" l="1"/>
  <c r="K122" i="60" s="1"/>
  <c r="K125" i="60" l="1"/>
  <c r="L118" i="60"/>
  <c r="L121" i="60" l="1"/>
  <c r="L122" i="60" s="1"/>
  <c r="M118" i="60" l="1"/>
  <c r="L125" i="60"/>
  <c r="M121" i="60" l="1"/>
  <c r="M122" i="60" s="1"/>
  <c r="M125" i="60" l="1"/>
  <c r="N118" i="60"/>
  <c r="N121" i="60" l="1"/>
  <c r="N122" i="60" s="1"/>
  <c r="N125" i="60" l="1"/>
  <c r="O118" i="60"/>
  <c r="O121" i="60" l="1"/>
  <c r="O122" i="60" s="1"/>
  <c r="O125" i="60" l="1"/>
  <c r="P118" i="60"/>
  <c r="P121" i="60" l="1"/>
  <c r="P122" i="60" s="1"/>
  <c r="P125" i="60" l="1"/>
  <c r="Q118" i="60"/>
  <c r="Q121" i="60" l="1"/>
  <c r="Q122" i="60" s="1"/>
  <c r="Q125" i="60" l="1"/>
  <c r="R118" i="60"/>
  <c r="R121" i="60" l="1"/>
  <c r="R122" i="60" s="1"/>
  <c r="S118" i="60" l="1"/>
  <c r="R125" i="60"/>
  <c r="S121" i="60" l="1"/>
  <c r="S122" i="60" s="1"/>
  <c r="S125" i="60" l="1"/>
  <c r="T118" i="60"/>
  <c r="T121" i="60" l="1"/>
  <c r="T122" i="60" s="1"/>
  <c r="T125" i="60" l="1"/>
  <c r="U118" i="60"/>
  <c r="U121" i="60" l="1"/>
  <c r="U122" i="60" s="1"/>
  <c r="U125" i="60" l="1"/>
  <c r="V118" i="60"/>
  <c r="V121" i="60" l="1"/>
  <c r="V122" i="60" s="1"/>
  <c r="V125" i="60" l="1"/>
  <c r="W118" i="60"/>
  <c r="W121" i="60" l="1"/>
  <c r="W122" i="60" s="1"/>
  <c r="X118" i="60" l="1"/>
  <c r="X121" i="60" s="1"/>
  <c r="X122" i="60" s="1"/>
  <c r="W125" i="60"/>
  <c r="X125" i="60" l="1"/>
  <c r="Y118" i="60"/>
  <c r="Y121" i="60" l="1"/>
  <c r="Y122" i="60" s="1"/>
  <c r="Z118" i="60" l="1"/>
  <c r="Z121" i="60" s="1"/>
  <c r="Z122" i="60" s="1"/>
  <c r="Y125" i="60"/>
  <c r="Z125" i="60" l="1"/>
  <c r="AA118" i="60"/>
  <c r="AA121" i="60" l="1"/>
  <c r="AA122" i="60" s="1"/>
  <c r="AA125" i="60" l="1"/>
  <c r="AB118" i="60"/>
  <c r="AB121" i="60" l="1"/>
  <c r="AB122" i="60" s="1"/>
  <c r="AC118" i="60" l="1"/>
  <c r="AC121" i="60" s="1"/>
  <c r="AC122" i="60" s="1"/>
  <c r="AB125" i="60"/>
  <c r="AD118" i="60" l="1"/>
  <c r="AC125" i="60"/>
  <c r="AD121" i="60" l="1"/>
  <c r="AD122" i="60" s="1"/>
  <c r="AD125" i="60" l="1"/>
  <c r="AE118" i="60"/>
  <c r="AE121" i="60" l="1"/>
  <c r="AE122" i="60" s="1"/>
  <c r="AE125" i="60" l="1"/>
  <c r="AF118" i="60"/>
  <c r="AF121" i="60" l="1"/>
  <c r="AF122" i="60" s="1"/>
  <c r="AG118" i="60" l="1"/>
  <c r="AG121" i="60" s="1"/>
  <c r="AG122" i="60" s="1"/>
  <c r="AF125" i="60"/>
  <c r="AH118" i="60" l="1"/>
  <c r="AG125" i="60"/>
  <c r="AH121" i="60" l="1"/>
  <c r="AH122" i="60" s="1"/>
  <c r="AH125" i="60" l="1"/>
  <c r="AI118" i="60"/>
  <c r="AI121" i="60" l="1"/>
  <c r="AI122" i="60" s="1"/>
  <c r="AI125" i="60" l="1"/>
  <c r="AJ118" i="60"/>
  <c r="AJ121" i="60" l="1"/>
  <c r="AJ122" i="60" s="1"/>
  <c r="AJ125" i="60" l="1"/>
  <c r="AK118" i="60"/>
  <c r="AK121" i="60" l="1"/>
  <c r="AK122" i="60" s="1"/>
  <c r="AL118" i="60" l="1"/>
  <c r="AL121" i="60" s="1"/>
  <c r="AL122" i="60" s="1"/>
  <c r="AK125" i="60"/>
  <c r="AM118" i="60" l="1"/>
  <c r="AL125" i="60"/>
  <c r="AM121" i="60" l="1"/>
  <c r="AM122" i="60" s="1"/>
  <c r="AM125" i="60" l="1"/>
  <c r="AN118" i="60"/>
  <c r="AN121" i="60" l="1"/>
  <c r="AN122" i="60" s="1"/>
  <c r="AN125" i="60" l="1"/>
  <c r="AO118" i="60"/>
  <c r="AO121" i="60" l="1"/>
  <c r="AO122" i="60" s="1"/>
  <c r="AP118" i="60" l="1"/>
  <c r="AO125" i="60"/>
  <c r="AP121" i="60" l="1"/>
  <c r="AP122" i="60" s="1"/>
  <c r="AQ118" i="60" l="1"/>
  <c r="AQ121" i="60" s="1"/>
  <c r="AQ122" i="60" s="1"/>
  <c r="AP125" i="60"/>
  <c r="AQ125" i="60" l="1"/>
  <c r="AR118" i="60"/>
  <c r="AR121" i="60" l="1"/>
  <c r="AR122" i="60" s="1"/>
  <c r="AR125" i="60" l="1"/>
  <c r="AS118" i="60"/>
  <c r="AS121" i="60" l="1"/>
  <c r="AS122" i="60" s="1"/>
  <c r="AT118" i="60" l="1"/>
  <c r="AT121" i="60" s="1"/>
  <c r="AT122" i="60" s="1"/>
  <c r="AS125" i="60"/>
  <c r="AT125" i="60" l="1"/>
  <c r="AU118" i="60"/>
  <c r="AU121" i="60" l="1"/>
  <c r="AU122" i="60" s="1"/>
  <c r="AV118" i="60" l="1"/>
  <c r="AV121" i="60" s="1"/>
  <c r="AV122" i="60" s="1"/>
  <c r="AU125" i="60"/>
  <c r="AV125" i="60" l="1"/>
  <c r="AW118" i="60"/>
  <c r="AW121" i="60" l="1"/>
  <c r="AW122" i="60" s="1"/>
  <c r="AX118" i="60" l="1"/>
  <c r="AX121" i="60" s="1"/>
  <c r="AX122" i="60" s="1"/>
  <c r="AW125" i="60"/>
  <c r="AX125" i="60" l="1"/>
  <c r="AY118" i="60"/>
  <c r="AY121" i="60" l="1"/>
  <c r="AY122" i="60" s="1"/>
  <c r="AY125" i="60" l="1"/>
  <c r="AZ118" i="60"/>
  <c r="AZ121" i="60" l="1"/>
  <c r="AZ122" i="60" s="1"/>
  <c r="AZ125" i="60" l="1"/>
  <c r="BA118" i="60"/>
  <c r="BA121" i="60" l="1"/>
  <c r="BA122" i="60" s="1"/>
  <c r="BA125" i="60" l="1"/>
  <c r="BB118" i="60"/>
  <c r="BB121" i="60" l="1"/>
  <c r="BB122" i="60" s="1"/>
  <c r="BB125" i="60" l="1"/>
  <c r="BC118" i="60"/>
  <c r="BC121" i="60" l="1"/>
  <c r="BC122" i="60" s="1"/>
  <c r="BD118" i="60" l="1"/>
  <c r="BD121" i="60" s="1"/>
  <c r="BD122" i="60" s="1"/>
  <c r="BC125" i="60"/>
  <c r="BD125" i="60" l="1"/>
  <c r="BE118" i="60"/>
  <c r="BE121" i="60" l="1"/>
  <c r="BE122" i="60" s="1"/>
  <c r="BF118" i="60" l="1"/>
  <c r="BF121" i="60" s="1"/>
  <c r="BF122" i="60" s="1"/>
  <c r="BE125" i="60"/>
  <c r="BF125" i="60" l="1"/>
  <c r="BG118" i="60"/>
  <c r="BG121" i="60" l="1"/>
  <c r="BG122" i="60" s="1"/>
  <c r="BH118" i="60" l="1"/>
  <c r="BH121" i="60" s="1"/>
  <c r="BH122" i="60" s="1"/>
  <c r="BG125" i="60"/>
  <c r="BH125" i="60" l="1"/>
  <c r="BH130" i="60" s="1"/>
</calcChain>
</file>

<file path=xl/sharedStrings.xml><?xml version="1.0" encoding="utf-8"?>
<sst xmlns="http://schemas.openxmlformats.org/spreadsheetml/2006/main" count="1585" uniqueCount="645">
  <si>
    <t>Description</t>
  </si>
  <si>
    <t>Blend Ratio (groundwater/distilled water)</t>
  </si>
  <si>
    <t>Year</t>
  </si>
  <si>
    <t>Management Team</t>
  </si>
  <si>
    <t>Management Expenses</t>
  </si>
  <si>
    <t>Engineering Team</t>
  </si>
  <si>
    <t>Engineering Support</t>
  </si>
  <si>
    <t>Subtotal</t>
  </si>
  <si>
    <t>Pecentage of Purified Salt sent to Vacuum Refining</t>
  </si>
  <si>
    <t>Metric Tons of Solar Salt Produced</t>
  </si>
  <si>
    <t>Salt Evaporation Ponds Capital Cost</t>
  </si>
  <si>
    <t>Salt Evaporation Ponds Operating Cost</t>
  </si>
  <si>
    <t>Annual Revenue from Solar Salt</t>
  </si>
  <si>
    <t>Number of Vacuum Salt Refining Plants in Design/Permitting</t>
  </si>
  <si>
    <t>Number of Vacuum Salt Refining Plants in Construction</t>
  </si>
  <si>
    <t>Number of Vacuum Salt Refining Plants in Operation</t>
  </si>
  <si>
    <t>Metric Tons of Vacuum Refined Salt Produced</t>
  </si>
  <si>
    <t>Vacuum Salt Refining Capital Cost</t>
  </si>
  <si>
    <t>Vacuum Salt Refining Operating Cost</t>
  </si>
  <si>
    <t>Annual Revenue from Vacuum Refined Salt</t>
  </si>
  <si>
    <t>Number of Groundwater Wellfields in Design/Permitting</t>
  </si>
  <si>
    <t>Number of Groundwater Wellfields in Construction</t>
  </si>
  <si>
    <t>Number of Groundwater Wellfields in Operation</t>
  </si>
  <si>
    <t>Groundwater Wellfields Capital Cost</t>
  </si>
  <si>
    <t>Groundwater Wellfields Operating Cost</t>
  </si>
  <si>
    <t>Acre-feet of Groundwater Water Produced</t>
  </si>
  <si>
    <t>Total Revenue</t>
  </si>
  <si>
    <t>Total Capital Costs</t>
  </si>
  <si>
    <t>Total Operating Costs</t>
  </si>
  <si>
    <t>Cumulative Net Revenue</t>
  </si>
  <si>
    <t>Capital Repayment</t>
  </si>
  <si>
    <t>Cumulative Capital Outlay</t>
  </si>
  <si>
    <t>Category</t>
  </si>
  <si>
    <t>Annual Salary</t>
  </si>
  <si>
    <t>Benefits</t>
  </si>
  <si>
    <t>Annual Cost</t>
  </si>
  <si>
    <t>CEO</t>
  </si>
  <si>
    <t>CFO</t>
  </si>
  <si>
    <t>CTO</t>
  </si>
  <si>
    <t>VP Business Development</t>
  </si>
  <si>
    <t>Office Manager</t>
  </si>
  <si>
    <t>Management Team Subtotal</t>
  </si>
  <si>
    <t>Outside Consulting Services</t>
  </si>
  <si>
    <t>CPA Services</t>
  </si>
  <si>
    <t>Office Rent</t>
  </si>
  <si>
    <t>Office Supplies</t>
  </si>
  <si>
    <t>Travel Expenses</t>
  </si>
  <si>
    <t>Promotional Materials</t>
  </si>
  <si>
    <t>Electrical Service</t>
  </si>
  <si>
    <t>Water/Sewer/Trash Service</t>
  </si>
  <si>
    <t>Phone and Internet Service</t>
  </si>
  <si>
    <t>Operating Expense Subtotal</t>
  </si>
  <si>
    <t>Civil Engineer</t>
  </si>
  <si>
    <t>Mechanical Engineer</t>
  </si>
  <si>
    <t>Chemical Engineer</t>
  </si>
  <si>
    <t>Electrical Engineer</t>
  </si>
  <si>
    <t>CAD Designer</t>
  </si>
  <si>
    <t>Permitting Specialist</t>
  </si>
  <si>
    <t>Budgeting Specialist</t>
  </si>
  <si>
    <t>Engineering Team Subtotal</t>
  </si>
  <si>
    <t>Computer Systems</t>
  </si>
  <si>
    <t>Engineering/CAD Software</t>
  </si>
  <si>
    <t>Engineering Team Expenses</t>
  </si>
  <si>
    <t>Number of Salt Refineries</t>
  </si>
  <si>
    <t>Steam Press</t>
  </si>
  <si>
    <t>VTE Plant Steam Requirement</t>
  </si>
  <si>
    <t>psig</t>
  </si>
  <si>
    <t>lb/hr</t>
  </si>
  <si>
    <t>kWh</t>
  </si>
  <si>
    <t>$/kWh</t>
  </si>
  <si>
    <t>1,000 lb/hr</t>
  </si>
  <si>
    <t>$/year/5MGD</t>
  </si>
  <si>
    <t>Btu/lb</t>
  </si>
  <si>
    <t>Btu/kcal</t>
  </si>
  <si>
    <t>Btu/hr</t>
  </si>
  <si>
    <r>
      <t>kWh</t>
    </r>
    <r>
      <rPr>
        <vertAlign val="subscript"/>
        <sz val="10"/>
        <rFont val="Arial"/>
        <family val="2"/>
      </rPr>
      <t>t</t>
    </r>
  </si>
  <si>
    <r>
      <t>h</t>
    </r>
    <r>
      <rPr>
        <vertAlign val="subscript"/>
        <sz val="10"/>
        <rFont val="Arial"/>
        <family val="2"/>
      </rPr>
      <t>g</t>
    </r>
  </si>
  <si>
    <r>
      <t>h</t>
    </r>
    <r>
      <rPr>
        <vertAlign val="subscript"/>
        <sz val="10"/>
        <rFont val="Arial"/>
        <family val="2"/>
      </rPr>
      <t>fg</t>
    </r>
  </si>
  <si>
    <t>Salt Plant Thermal Requirement</t>
  </si>
  <si>
    <t>Salt Plant Steam Requirement</t>
  </si>
  <si>
    <t>kcal/hr</t>
  </si>
  <si>
    <t>$/year/250 tonne/day</t>
  </si>
  <si>
    <t>$/lb/hr</t>
  </si>
  <si>
    <t>Thermal Energy Cost</t>
  </si>
  <si>
    <t>Conversion</t>
  </si>
  <si>
    <t>$/1,000 lb/hr</t>
  </si>
  <si>
    <r>
      <t>Btu/hr/kW</t>
    </r>
    <r>
      <rPr>
        <vertAlign val="subscript"/>
        <sz val="10"/>
        <rFont val="Arial"/>
        <family val="2"/>
      </rPr>
      <t>t</t>
    </r>
  </si>
  <si>
    <t>$/Btu/hr</t>
  </si>
  <si>
    <r>
      <t>$/kWh</t>
    </r>
    <r>
      <rPr>
        <vertAlign val="subscript"/>
        <sz val="10"/>
        <rFont val="Arial"/>
        <family val="2"/>
      </rPr>
      <t>t</t>
    </r>
  </si>
  <si>
    <t>Black Rock Steam</t>
  </si>
  <si>
    <t>Press. (psig)</t>
  </si>
  <si>
    <t>Press. (psia)</t>
  </si>
  <si>
    <r>
      <t>Temp. (</t>
    </r>
    <r>
      <rPr>
        <sz val="11"/>
        <color indexed="8"/>
        <rFont val="Times New Roman"/>
        <family val="1"/>
      </rPr>
      <t>°</t>
    </r>
    <r>
      <rPr>
        <sz val="11"/>
        <color indexed="8"/>
        <rFont val="Calibri"/>
        <family val="2"/>
      </rPr>
      <t>F)</t>
    </r>
  </si>
  <si>
    <r>
      <t>H</t>
    </r>
    <r>
      <rPr>
        <vertAlign val="subscript"/>
        <sz val="11"/>
        <color indexed="8"/>
        <rFont val="Calibri"/>
        <family val="2"/>
      </rPr>
      <t xml:space="preserve">fg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</si>
  <si>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f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</si>
  <si>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g </t>
    </r>
    <r>
      <rPr>
        <sz val="10"/>
        <rFont val="Arial"/>
        <family val="2"/>
      </rPr>
      <t>(Btu/lb)</t>
    </r>
  </si>
  <si>
    <t>HP Steam Flash</t>
  </si>
  <si>
    <t>SP Steam Flash</t>
  </si>
  <si>
    <r>
      <t>VTE Steam Delivery 251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</si>
  <si>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233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</si>
  <si>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212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</si>
  <si>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t>Quoted Steam Cost</t>
  </si>
  <si>
    <r>
      <t>kW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/Btu/hr</t>
    </r>
  </si>
  <si>
    <t>Quoted Power Cost</t>
  </si>
  <si>
    <r>
      <t>$/kWh</t>
    </r>
    <r>
      <rPr>
        <vertAlign val="subscript"/>
        <sz val="10"/>
        <rFont val="Arial"/>
        <family val="2"/>
      </rPr>
      <t>e</t>
    </r>
  </si>
  <si>
    <t>per cubic meter</t>
  </si>
  <si>
    <t>Cost</t>
  </si>
  <si>
    <t>Unit</t>
  </si>
  <si>
    <t>Salt Refinery total capital cost</t>
  </si>
  <si>
    <t>Vacuum Crystallizing Plant</t>
  </si>
  <si>
    <t>each plant</t>
  </si>
  <si>
    <t>Amortizaton period</t>
  </si>
  <si>
    <t>years</t>
  </si>
  <si>
    <t>Interest rate</t>
  </si>
  <si>
    <t>per year</t>
  </si>
  <si>
    <t>Plant life capital cost</t>
  </si>
  <si>
    <t>Annualized capital cost</t>
  </si>
  <si>
    <t>Dewatering Centrifuge</t>
  </si>
  <si>
    <t>each unit</t>
  </si>
  <si>
    <t>Pusher Centrifuge</t>
  </si>
  <si>
    <t>Unit life capital cost</t>
  </si>
  <si>
    <t>Drying, Sorting, Packing Plant</t>
  </si>
  <si>
    <t>Salt Capacity</t>
  </si>
  <si>
    <t>tonne/day</t>
  </si>
  <si>
    <t>Input salt concentration</t>
  </si>
  <si>
    <t>Crystallizing Plant Capacity</t>
  </si>
  <si>
    <t>Crystallizing Plant Slurry Density</t>
  </si>
  <si>
    <t>Brine Slurry Capacity</t>
  </si>
  <si>
    <t>gpd</t>
  </si>
  <si>
    <t>Water Recovery ratio</t>
  </si>
  <si>
    <t>Plant availability</t>
  </si>
  <si>
    <t>Plant spec cost</t>
  </si>
  <si>
    <t>$/tonne/day</t>
  </si>
  <si>
    <t>Plant Operating Costs</t>
  </si>
  <si>
    <t>Vacuum Crystallizing Plant parts</t>
  </si>
  <si>
    <t>Dewatering Centrifuge parts</t>
  </si>
  <si>
    <t>Drying, Sorting, Packing parts</t>
  </si>
  <si>
    <t>Replacements &amp; Supplies</t>
  </si>
  <si>
    <t>Manpower</t>
  </si>
  <si>
    <t>Operating Supplies</t>
  </si>
  <si>
    <t>Annual O&amp;M Cost</t>
  </si>
  <si>
    <t>Plant Energy Costs</t>
  </si>
  <si>
    <t>Evaporator Thermal Requirement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</si>
  <si>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/day</t>
    </r>
  </si>
  <si>
    <t>Drying Thermal Requirement</t>
  </si>
  <si>
    <t>Thermal Rate</t>
  </si>
  <si>
    <t>Thermal Cost</t>
  </si>
  <si>
    <t>VTE electrical requirement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</si>
  <si>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/day</t>
    </r>
  </si>
  <si>
    <t>Centrifuge electrical requirement</t>
  </si>
  <si>
    <t>Dry/Sort electrical requirement</t>
  </si>
  <si>
    <t>Electrical rate</t>
  </si>
  <si>
    <r>
      <t>per kWh</t>
    </r>
    <r>
      <rPr>
        <vertAlign val="subscript"/>
        <sz val="10"/>
        <rFont val="Arial"/>
        <family val="2"/>
      </rPr>
      <t>e</t>
    </r>
  </si>
  <si>
    <t>Electrical cost</t>
  </si>
  <si>
    <t>Annual Energy Cost</t>
  </si>
  <si>
    <t>Annualized Plant Cost</t>
  </si>
  <si>
    <t>Salt cost (refinery only)</t>
  </si>
  <si>
    <t>per tonne</t>
  </si>
  <si>
    <t>Net</t>
  </si>
  <si>
    <t>Refinery Annual Ouput</t>
  </si>
  <si>
    <t>Metric tons</t>
  </si>
  <si>
    <t>Refinery Annual net</t>
  </si>
  <si>
    <t>Total Salt Supply to All Plants</t>
  </si>
  <si>
    <t>Electrical Use per Tonne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</si>
  <si>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/tonne</t>
    </r>
  </si>
  <si>
    <t>Thermal Use per Tonne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</si>
  <si>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/tonne</t>
    </r>
  </si>
  <si>
    <t>Salt Separation Plant</t>
  </si>
  <si>
    <t>Cost to Feed 5 MGD VTE</t>
  </si>
  <si>
    <t>Plant capital cost</t>
  </si>
  <si>
    <t>each</t>
  </si>
  <si>
    <t>Permeate capacity</t>
  </si>
  <si>
    <t>Feed Capacity</t>
  </si>
  <si>
    <t>Recovery ratio</t>
  </si>
  <si>
    <t>$/gpd</t>
  </si>
  <si>
    <t>Chemicals</t>
  </si>
  <si>
    <t>UF Membranes 20% rep</t>
  </si>
  <si>
    <t>NF Membranes 25% rep</t>
  </si>
  <si>
    <t>Cartridge Filters</t>
  </si>
  <si>
    <t>Cleaning Chemicals</t>
  </si>
  <si>
    <t>Maintenance Supplies</t>
  </si>
  <si>
    <t>Electrical requirement</t>
  </si>
  <si>
    <t>kWh/day</t>
  </si>
  <si>
    <t>per kWh</t>
  </si>
  <si>
    <t>Permeate cost</t>
  </si>
  <si>
    <t>per 1,000 gal</t>
  </si>
  <si>
    <t>per acre-ft</t>
  </si>
  <si>
    <t>NaCl in Permeate</t>
  </si>
  <si>
    <t>mg/liter</t>
  </si>
  <si>
    <t>Annual Permeate Output</t>
  </si>
  <si>
    <t>AFY</t>
  </si>
  <si>
    <t>Annual NaCl output</t>
  </si>
  <si>
    <t>Metric Tons</t>
  </si>
  <si>
    <t>NaCl Cost in Brine</t>
  </si>
  <si>
    <t>per metric ton</t>
  </si>
  <si>
    <t>Annual Reject Output</t>
  </si>
  <si>
    <t>Electrical Use per MG</t>
  </si>
  <si>
    <t>kWh/MG</t>
  </si>
  <si>
    <t>Distillate capacity</t>
  </si>
  <si>
    <t>Concentration factor</t>
  </si>
  <si>
    <t>Brine Capacity</t>
  </si>
  <si>
    <t>Operation &amp; maintenance</t>
  </si>
  <si>
    <t>Thermal requirement</t>
  </si>
  <si>
    <t>lbs/hr</t>
  </si>
  <si>
    <t>Thermal rate</t>
  </si>
  <si>
    <t>per lb/hr</t>
  </si>
  <si>
    <t>Thermal cost</t>
  </si>
  <si>
    <t>Distillate cost</t>
  </si>
  <si>
    <t>Annual Distillate Output</t>
  </si>
  <si>
    <t>Deaerator</t>
  </si>
  <si>
    <t>Foundation</t>
  </si>
  <si>
    <t>Excavation</t>
  </si>
  <si>
    <t>Chemical feed system</t>
  </si>
  <si>
    <t>Pumps and Motors</t>
  </si>
  <si>
    <t>Steam ejector system</t>
  </si>
  <si>
    <t>Piping and valves</t>
  </si>
  <si>
    <t>Electrical gear &amp; cables</t>
  </si>
  <si>
    <t>Instrumentation</t>
  </si>
  <si>
    <t>Computer control sytem</t>
  </si>
  <si>
    <t>Misc. bolts, nuts, gaskets</t>
  </si>
  <si>
    <t>Subtotal Construction Equipment &amp; Materials</t>
  </si>
  <si>
    <t>Freight in (1.5% of materials)</t>
  </si>
  <si>
    <t>Insurance (0.5% of materials)</t>
  </si>
  <si>
    <t>Mobilization</t>
  </si>
  <si>
    <t>Installation &amp; site fabrication</t>
  </si>
  <si>
    <t>Subtotal Construction Contract</t>
  </si>
  <si>
    <t>Contractor markup (15% of above)</t>
  </si>
  <si>
    <t>Total Construction Contract</t>
  </si>
  <si>
    <t>Materials inspection (1.5% of materials)</t>
  </si>
  <si>
    <t>Construction management (5% of contract)</t>
  </si>
  <si>
    <t>Total Plant Costs</t>
  </si>
  <si>
    <t>Interest during construction (8% of total)</t>
  </si>
  <si>
    <t>Contingencies (10% of total)</t>
  </si>
  <si>
    <t>Total Plant Construction Project</t>
  </si>
  <si>
    <t>Amount 1</t>
  </si>
  <si>
    <t>Amount 2</t>
  </si>
  <si>
    <t>Total Amount</t>
  </si>
  <si>
    <t>Unit Cost</t>
  </si>
  <si>
    <t>Demister Screens 316 SS</t>
  </si>
  <si>
    <r>
      <t>ft</t>
    </r>
    <r>
      <rPr>
        <sz val="10"/>
        <rFont val="Arial"/>
        <family val="2"/>
        <charset val="1"/>
      </rPr>
      <t>²</t>
    </r>
  </si>
  <si>
    <t>inch</t>
  </si>
  <si>
    <r>
      <t>ft</t>
    </r>
    <r>
      <rPr>
        <sz val="10"/>
        <rFont val="Arial"/>
        <family val="2"/>
        <charset val="1"/>
      </rPr>
      <t>³</t>
    </r>
  </si>
  <si>
    <r>
      <t>yd</t>
    </r>
    <r>
      <rPr>
        <sz val="10"/>
        <rFont val="Arial"/>
        <family val="2"/>
        <charset val="1"/>
      </rPr>
      <t>³</t>
    </r>
  </si>
  <si>
    <t>Pump</t>
  </si>
  <si>
    <t>Quantity</t>
  </si>
  <si>
    <t>Flow Rate</t>
  </si>
  <si>
    <t>Head</t>
  </si>
  <si>
    <t>SG</t>
  </si>
  <si>
    <t>Eff</t>
  </si>
  <si>
    <t>HP</t>
  </si>
  <si>
    <t>Total HP</t>
  </si>
  <si>
    <t>(gpm)</t>
  </si>
  <si>
    <t>(ft)</t>
  </si>
  <si>
    <t>Brine Recycle</t>
  </si>
  <si>
    <t>Feed (DA)</t>
  </si>
  <si>
    <t>Distillate</t>
  </si>
  <si>
    <t>Brine Blowdown</t>
  </si>
  <si>
    <t>Condensate</t>
  </si>
  <si>
    <t>Seawater In</t>
  </si>
  <si>
    <t>Coolant</t>
  </si>
  <si>
    <t>Total KW</t>
  </si>
  <si>
    <t>Material for all</t>
  </si>
  <si>
    <t>Ni Resist</t>
  </si>
  <si>
    <t>Impeller</t>
  </si>
  <si>
    <t>316L SS</t>
  </si>
  <si>
    <t>Seals</t>
  </si>
  <si>
    <t>Mechanical</t>
  </si>
  <si>
    <t>Frequency</t>
  </si>
  <si>
    <t>60 Hz</t>
  </si>
  <si>
    <t>Pump base</t>
  </si>
  <si>
    <t>common</t>
  </si>
  <si>
    <t>Evaporator Components</t>
  </si>
  <si>
    <t>Material</t>
  </si>
  <si>
    <r>
      <t>(ft</t>
    </r>
    <r>
      <rPr>
        <b/>
        <sz val="10"/>
        <rFont val="Arial"/>
        <family val="2"/>
        <charset val="1"/>
      </rPr>
      <t>³)</t>
    </r>
  </si>
  <si>
    <t>(tons)</t>
  </si>
  <si>
    <t>Lower and Upper Deck</t>
  </si>
  <si>
    <t>A285 grade C</t>
  </si>
  <si>
    <t>A516 grade 70</t>
  </si>
  <si>
    <t>ton</t>
  </si>
  <si>
    <t>Sidewalls</t>
  </si>
  <si>
    <t>Endwalls</t>
  </si>
  <si>
    <t>Endwall Chamfer</t>
  </si>
  <si>
    <t>Lower and Upper Deck Lining</t>
  </si>
  <si>
    <t>Sidewalls Lining</t>
  </si>
  <si>
    <t>Endwall lining</t>
  </si>
  <si>
    <t>Endwall Chamfer Lining</t>
  </si>
  <si>
    <t>Effect Cylinder</t>
  </si>
  <si>
    <t>Effect Cylinder Cover</t>
  </si>
  <si>
    <t>Effect Bottom Cone</t>
  </si>
  <si>
    <t>Tubesheet</t>
  </si>
  <si>
    <t>Tubes</t>
  </si>
  <si>
    <t>3"</t>
  </si>
  <si>
    <t>Aluminum</t>
  </si>
  <si>
    <t>Demister</t>
  </si>
  <si>
    <t>Mesh</t>
  </si>
  <si>
    <t>Beams, Lower and Upper Deck</t>
  </si>
  <si>
    <t>Carbon Steel</t>
  </si>
  <si>
    <t>W10x45# WF</t>
  </si>
  <si>
    <t>Tube Bundle Shop Fabrication</t>
  </si>
  <si>
    <t>90/10 CuNi</t>
  </si>
  <si>
    <t>Nozzles, Manholes</t>
  </si>
  <si>
    <t>Paint</t>
  </si>
  <si>
    <t>Blast Sand</t>
  </si>
  <si>
    <t>Epoxy</t>
  </si>
  <si>
    <t>Insulation / Lagging</t>
  </si>
  <si>
    <t>Fiberglass</t>
  </si>
  <si>
    <t>Platform, Stairs, Railing</t>
  </si>
  <si>
    <t>Evaporator Total</t>
  </si>
  <si>
    <t>Annual Brine Output</t>
  </si>
  <si>
    <t>Evaporator 15 effect</t>
  </si>
  <si>
    <t>Design &amp; engineering (8% of contact)</t>
  </si>
  <si>
    <t>Volume of</t>
  </si>
  <si>
    <t>Weight</t>
  </si>
  <si>
    <t>Item</t>
  </si>
  <si>
    <t>Number of Effects (w/o condenser)</t>
  </si>
  <si>
    <t>Tube Length</t>
  </si>
  <si>
    <t>ft</t>
  </si>
  <si>
    <t>Tubes per Effect</t>
  </si>
  <si>
    <t>Effect Area</t>
  </si>
  <si>
    <r>
      <t>ft</t>
    </r>
    <r>
      <rPr>
        <vertAlign val="superscript"/>
        <sz val="10"/>
        <rFont val="Arial"/>
        <family val="2"/>
      </rPr>
      <t>2</t>
    </r>
  </si>
  <si>
    <t>Tube Bundle Diameter</t>
  </si>
  <si>
    <t>Total Vessel Height</t>
  </si>
  <si>
    <t>Tube Vessel Width</t>
  </si>
  <si>
    <t>Separation Vessel Width</t>
  </si>
  <si>
    <t>Demister Area per Effect</t>
  </si>
  <si>
    <t>Tube Diameter</t>
  </si>
  <si>
    <t>inches</t>
  </si>
  <si>
    <t>Vessel Material</t>
  </si>
  <si>
    <t>Vessel Cladding</t>
  </si>
  <si>
    <t>Tube Material (double fluted) E2-15</t>
  </si>
  <si>
    <t>Alternative to be tested, Aluminum Brass</t>
  </si>
  <si>
    <t>Tube Material (smooth or fluted) E1</t>
  </si>
  <si>
    <t>Ti</t>
  </si>
  <si>
    <t>Alternatives to be evaluated, double fluted 90/10 CuNi or Aluminum Brass</t>
  </si>
  <si>
    <t>Vertical Tube Condenser</t>
  </si>
  <si>
    <t>Number of Bundles per Unit</t>
  </si>
  <si>
    <t>Tubes per Bundle</t>
  </si>
  <si>
    <t>Heat Transfer Area</t>
  </si>
  <si>
    <t>Overall Vessel Width</t>
  </si>
  <si>
    <t>Tube Material (smooth)</t>
  </si>
  <si>
    <t>Alternative, Naval Bronze</t>
  </si>
  <si>
    <t>Evaporator</t>
  </si>
  <si>
    <t>Number of Effects per Stack</t>
  </si>
  <si>
    <t>per stack</t>
  </si>
  <si>
    <t>Number of Bundles per Effect</t>
  </si>
  <si>
    <t>per effect</t>
  </si>
  <si>
    <t>Number Of Tube Bundles per Unit</t>
  </si>
  <si>
    <t>per unit</t>
  </si>
  <si>
    <t>Vessel Height</t>
  </si>
  <si>
    <t>Bundle Insert Width</t>
  </si>
  <si>
    <t>Tube Material (double fluted) E2-5</t>
  </si>
  <si>
    <t>Vertical Tube Condenser/Heater</t>
  </si>
  <si>
    <t>Tube Length (straight tubes)</t>
  </si>
  <si>
    <t>Heat Transfer Area per Bundle</t>
  </si>
  <si>
    <t>Tube Material (smooth or fluted)</t>
  </si>
  <si>
    <t>Pond Bottom Area</t>
  </si>
  <si>
    <t>In acres</t>
  </si>
  <si>
    <t>square feet</t>
  </si>
  <si>
    <t>Pond Inside Edge</t>
  </si>
  <si>
    <t>feet</t>
  </si>
  <si>
    <t>Berm Height</t>
  </si>
  <si>
    <t>Berm Top Width</t>
  </si>
  <si>
    <t>Berm Slope X:1</t>
  </si>
  <si>
    <t>W:H ratio</t>
  </si>
  <si>
    <t>Berm Base Width</t>
  </si>
  <si>
    <t>Berm Cross Section</t>
  </si>
  <si>
    <t>Berm Corner Volume</t>
  </si>
  <si>
    <t>cubic yards</t>
  </si>
  <si>
    <t>Berm Side Volume</t>
  </si>
  <si>
    <t>Total Berm Volume</t>
  </si>
  <si>
    <t>Dirt Fill Unit Cost</t>
  </si>
  <si>
    <t>cubic yard</t>
  </si>
  <si>
    <t>Berm Fill Cost</t>
  </si>
  <si>
    <t>total</t>
  </si>
  <si>
    <t>EDPM Liner roll width</t>
  </si>
  <si>
    <t>EDPM Liner roll length</t>
  </si>
  <si>
    <t>EDPM Liner roll cost</t>
  </si>
  <si>
    <t>Number of Rolls</t>
  </si>
  <si>
    <t>Cost of Liner 45 mil</t>
  </si>
  <si>
    <t>PVC Liner roll width</t>
  </si>
  <si>
    <t>PVC Liner roll length</t>
  </si>
  <si>
    <t>PVC Liner roll cost</t>
  </si>
  <si>
    <t>Cost of Liner 20 mil</t>
  </si>
  <si>
    <t>Canal Bottom Width</t>
  </si>
  <si>
    <t>Canal Length</t>
  </si>
  <si>
    <t>Canal Bottom Area</t>
  </si>
  <si>
    <t>Canal Inside Edge</t>
  </si>
  <si>
    <t>Maintenance Cost per acre</t>
  </si>
  <si>
    <t>Amount</t>
  </si>
  <si>
    <t>Performance Ratio</t>
  </si>
  <si>
    <t>Sources: VTE Geothermal Desalination Pilot Project data and estimates</t>
  </si>
  <si>
    <t>Sources: IID Draft IRP Appendix N pg. 26</t>
  </si>
  <si>
    <t>w/ 6.4% inflation</t>
  </si>
  <si>
    <t>Wellfield Costs</t>
  </si>
  <si>
    <t>Direct Capital Costs (original sources)</t>
  </si>
  <si>
    <t>Direct Capital Costs (adjusted to 2013)</t>
  </si>
  <si>
    <t>Ultrafiltration Plant (2001)</t>
  </si>
  <si>
    <t>Source Water Development (2013)</t>
  </si>
  <si>
    <t>Source Water Development (2009)</t>
  </si>
  <si>
    <t>Working Capital (2 months of O&amp;M costs)</t>
  </si>
  <si>
    <t>Recharge Facilities (2009)</t>
  </si>
  <si>
    <t>Direct Capital Costs (adjusted to 2011)</t>
  </si>
  <si>
    <t>Cooling Blowdown or Seawater Distillation Plant (2009)</t>
  </si>
  <si>
    <t>Mitigation Costs (reduced flow from drains 2009)</t>
  </si>
  <si>
    <t>Indirect Capital Costs</t>
  </si>
  <si>
    <t>Product Water Distribution (2009)</t>
  </si>
  <si>
    <t>Freight and Insurance, 5% of direct capital cost</t>
  </si>
  <si>
    <t>Owner's direct expense, 10% of direct capital cost</t>
  </si>
  <si>
    <t>Direct Capital Costs (old)</t>
  </si>
  <si>
    <t>Construction Overhead, 15% of direct capital cost</t>
  </si>
  <si>
    <t>Interest During Construction (1/2 of period 6% rate)</t>
  </si>
  <si>
    <t>Capital Cost</t>
  </si>
  <si>
    <t>Annual O&amp;M costs Wellfield (2013)</t>
  </si>
  <si>
    <t>Annual O&amp;M costs Drain Delivery (2013)</t>
  </si>
  <si>
    <t>Financial Analysis - cost per acre foot</t>
  </si>
  <si>
    <t>Equivalent Annual Cost (4% bond financed)</t>
  </si>
  <si>
    <t>Annual O&amp;M costs Wellfield (2009)</t>
  </si>
  <si>
    <t>Product Water, acre - feet</t>
  </si>
  <si>
    <t>Annual O&amp;M costs Drain Delivery (2009)</t>
  </si>
  <si>
    <t>Equivalent annual cost per acre foot</t>
  </si>
  <si>
    <t>Equivalent Annual Cost</t>
  </si>
  <si>
    <t>Recharge Costs</t>
  </si>
  <si>
    <t>Recharge Facilities (2013)</t>
  </si>
  <si>
    <t>Annual O&amp;M costs Recharge (2013)</t>
  </si>
  <si>
    <t>15 Effect VTE Desalination Cost Estimate 5 MGD</t>
  </si>
  <si>
    <t>Annual O&amp;M costs Recharge (2009)</t>
  </si>
  <si>
    <t>Cooling Blowdown or Seawater Distillation Plant (2013)</t>
  </si>
  <si>
    <t>Desalination Costs</t>
  </si>
  <si>
    <t>Annual O&amp;M costs Steam (2013)</t>
  </si>
  <si>
    <t>Annual O&amp;M costs Distillation (2013)</t>
  </si>
  <si>
    <t>Blended Water Cost (best TDS case)</t>
  </si>
  <si>
    <t>Ultrafiltration/Microfiltration Plant (2003)</t>
  </si>
  <si>
    <t>Seawater Distillation Plants (2013)</t>
  </si>
  <si>
    <t>Mitigation Costs (reduced flow from drains 2013)</t>
  </si>
  <si>
    <t>Annual O&amp;M costs Nonofiltration (2001)</t>
  </si>
  <si>
    <t>Product Water Distribution (2013)</t>
  </si>
  <si>
    <t>Annual O&amp;M costs Distillation (2009)</t>
  </si>
  <si>
    <t>Ultrafiltration/Microfiltration Plant (2001)</t>
  </si>
  <si>
    <t>Seawater Distillation Plants (2009)</t>
  </si>
  <si>
    <t>Square Miles of SGSP in Design/Permitting</t>
  </si>
  <si>
    <t>Square Miles of SGSP in Operation</t>
  </si>
  <si>
    <t>SGSP Capital Cost</t>
  </si>
  <si>
    <t>SGSP Operating Cost</t>
  </si>
  <si>
    <t>MWh of Power Produced (baseload seasonal average)</t>
  </si>
  <si>
    <t>Annual Revenue from Power Sold</t>
  </si>
  <si>
    <t>Number of 6 MGD Salt Separation Plants in Design/Permitting</t>
  </si>
  <si>
    <t>Number of 6 MGD Salt Separation Plants in Construction</t>
  </si>
  <si>
    <t>Number of 6 MGD Salt Separation Plants in Operation</t>
  </si>
  <si>
    <t>6 MGD Salt Separation Plants Capital Cost</t>
  </si>
  <si>
    <t>6 MGD Salt Separation Plants Operating Cost</t>
  </si>
  <si>
    <t>Solar Salt sold into market (metric tonnes per year)</t>
  </si>
  <si>
    <t>Mixed Salts to SGSP (metric tonnes per year)</t>
  </si>
  <si>
    <t>Refined Salt sold into market (metric tonnes per year)</t>
  </si>
  <si>
    <t>Mixed Salts in Reject</t>
  </si>
  <si>
    <t>Annual Mixed Salt output</t>
  </si>
  <si>
    <t>SGSP filled per year (square miles)</t>
  </si>
  <si>
    <t>Cumulative SGSP brine fill (square miles)</t>
  </si>
  <si>
    <t>Annual Pretax Return on Investment</t>
  </si>
  <si>
    <t>Total Salts to Sale (metric tonnes per year)</t>
  </si>
  <si>
    <t>Acre-feet of Blended Water Delivered to Salton Sea Habitat</t>
  </si>
  <si>
    <t>Annual Cost of Blended Water</t>
  </si>
  <si>
    <t>Unit Cost of Blended Water</t>
  </si>
  <si>
    <t>Annual Geothermal Steam and Power Payment to CalEnergy</t>
  </si>
  <si>
    <t>Annual Net Revenue</t>
  </si>
  <si>
    <t>Number of 1 MGD Salt Separation Plants in Design/Permitting</t>
  </si>
  <si>
    <t>Number of  1 MGD Salt Separation Plants in Construction</t>
  </si>
  <si>
    <t>Number of  1 MGD Salt Separation Plants in Operation</t>
  </si>
  <si>
    <t>Capacity Factor to 1 MGD</t>
  </si>
  <si>
    <t>Cost to Feed 1 MGD Pond VTE</t>
  </si>
  <si>
    <t>Acre-feet of Distilled Water Consumed for SGSP Surface Make-up</t>
  </si>
  <si>
    <t>Square Miles of SGSP in Construction</t>
  </si>
  <si>
    <t xml:space="preserve"> 1 MGD Salt Separation Plants Capital Cost</t>
  </si>
  <si>
    <t xml:space="preserve"> 1 MGD Salt Separation Plants Operating Cost</t>
  </si>
  <si>
    <t>MW Power Capacity (baseload seasonal average)</t>
  </si>
  <si>
    <t>Density of saturated NaCl at 49.93 deg C</t>
  </si>
  <si>
    <t>Total Metric tons of salt held by SGSP</t>
  </si>
  <si>
    <t>Annual Metric Tons of Salt Removed</t>
  </si>
  <si>
    <t>Value of Salt Removal (per metric ton)</t>
  </si>
  <si>
    <t>Annual Revenue from Salt Removal</t>
  </si>
  <si>
    <t>MW Power Capacity Increment (baseload seasonal average)</t>
  </si>
  <si>
    <t>Reject capacity</t>
  </si>
  <si>
    <t>Price per MWh (current local baseload renewable contract rate)</t>
  </si>
  <si>
    <t>Office Supplies &amp; Services</t>
  </si>
  <si>
    <t>Annual Loan Repayment (monthly installments)</t>
  </si>
  <si>
    <t>Annual Profit/Loss</t>
  </si>
  <si>
    <t>Salt Fill Labor Cost per Pond</t>
  </si>
  <si>
    <t>Maintenance Cost per pond</t>
  </si>
  <si>
    <t>Pond brine capacity</t>
  </si>
  <si>
    <t>acre feet</t>
  </si>
  <si>
    <t>metric tons</t>
  </si>
  <si>
    <t>Liters per acre foot</t>
  </si>
  <si>
    <t>Cubic meters per acre foot</t>
  </si>
  <si>
    <t>Mass percent NaCl brine</t>
  </si>
  <si>
    <t>Density of NaCl brine</t>
  </si>
  <si>
    <t>Saturated salt capacity per pond</t>
  </si>
  <si>
    <t>Playa covered with solar salt evaporation ponds (acres)</t>
  </si>
  <si>
    <t>Saturated salt capacity per acre</t>
  </si>
  <si>
    <t>Capital Cost per pond</t>
  </si>
  <si>
    <t>Harvest cost per acre</t>
  </si>
  <si>
    <t>Harvest Cost per pond</t>
  </si>
  <si>
    <t>Annual operating cost per pond</t>
  </si>
  <si>
    <t>Annual operating cost per acre</t>
  </si>
  <si>
    <t>Capital Cost per acre</t>
  </si>
  <si>
    <t>6 MGD Salt Separation Plants Energy Cost (paid to geothermal)</t>
  </si>
  <si>
    <t>Vacuum Salt Refining Energy Cost (paid to geothermal)</t>
  </si>
  <si>
    <t>Pecentage of Purified Salt sent to Vacuum Refining at Solar Ponds</t>
  </si>
  <si>
    <t>Metric Tons of Solar Salt Produced at Solar Ponds</t>
  </si>
  <si>
    <t>Acre-feet of Distilled Water Produced by SGSP (25% water/power)</t>
  </si>
  <si>
    <t>All salts removed from Salton Sea system (metric tonnes per year)</t>
  </si>
  <si>
    <t>by weight</t>
  </si>
  <si>
    <t>Salt Price (2015 Domestic)</t>
  </si>
  <si>
    <t>Inflation</t>
  </si>
  <si>
    <t>Capital Cost Inflation</t>
  </si>
  <si>
    <t>Inflation Adjusted Total Capital Costs</t>
  </si>
  <si>
    <t>Inflation Adjusted Total Operating Costs</t>
  </si>
  <si>
    <t>Operating Cash</t>
  </si>
  <si>
    <t>Private Funds Borrowed</t>
  </si>
  <si>
    <t>Cumulative Private Debt</t>
  </si>
  <si>
    <t xml:space="preserve"> 1 MGD Salt Separation Plants Energy Cost (paid to SGSP)</t>
  </si>
  <si>
    <t>Cumulative Private Capital Invested</t>
  </si>
  <si>
    <t>Solar Salt Evaporation Pond Sizing and Costs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</si>
  <si>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</si>
  <si>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r>
      <t>per m</t>
    </r>
    <r>
      <rPr>
        <vertAlign val="superscript"/>
        <sz val="10"/>
        <rFont val="Arial"/>
        <family val="2"/>
      </rPr>
      <t>3</t>
    </r>
  </si>
  <si>
    <t>Thermal Use per m3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</si>
  <si>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</si>
  <si>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t>Enthalpy of Evaporation</t>
  </si>
  <si>
    <t>Amortized Capital Cost</t>
  </si>
  <si>
    <t>Thermal rate (geothermal)</t>
  </si>
  <si>
    <t>Thermal cost (geothermal)</t>
  </si>
  <si>
    <t>BTU/hr</t>
  </si>
  <si>
    <r>
      <t>kW</t>
    </r>
    <r>
      <rPr>
        <vertAlign val="subscript"/>
        <sz val="10"/>
        <rFont val="Arial"/>
        <family val="2"/>
      </rPr>
      <t>t</t>
    </r>
  </si>
  <si>
    <t>KW</t>
  </si>
  <si>
    <t>Evaporator 60 effects</t>
  </si>
  <si>
    <t>lbs/1,000 BTU</t>
  </si>
  <si>
    <t>20 MGD 60 Effect VTE-MED</t>
  </si>
  <si>
    <r>
      <t>Electrical Use per m</t>
    </r>
    <r>
      <rPr>
        <vertAlign val="superscript"/>
        <sz val="10"/>
        <rFont val="Arial"/>
        <family val="2"/>
      </rPr>
      <t>3</t>
    </r>
  </si>
  <si>
    <r>
      <t>kWh/m</t>
    </r>
    <r>
      <rPr>
        <vertAlign val="superscript"/>
        <sz val="10"/>
        <rFont val="Arial"/>
        <family val="2"/>
      </rPr>
      <t>3</t>
    </r>
  </si>
  <si>
    <t>multiplier</t>
  </si>
  <si>
    <t>15-60 effect</t>
  </si>
  <si>
    <t>Thermal requirement @392°F</t>
  </si>
  <si>
    <r>
      <t>Thermal Use per m</t>
    </r>
    <r>
      <rPr>
        <vertAlign val="superscript"/>
        <sz val="10"/>
        <rFont val="Arial"/>
        <family val="2"/>
      </rPr>
      <t>3</t>
    </r>
  </si>
  <si>
    <t>15 Effect 5 MGD design</t>
  </si>
  <si>
    <t>15 Effect 5 MGD 3 Stacks</t>
  </si>
  <si>
    <t>Pump Specifications</t>
  </si>
  <si>
    <t>15 Effect 5 MGD Design Capital Cost Estimate</t>
  </si>
  <si>
    <t>15 Effect 5 MGD VTE-MED</t>
  </si>
  <si>
    <t>Levellized Cost Estimate</t>
  </si>
  <si>
    <t>Evaporator Specifications</t>
  </si>
  <si>
    <t>Stacked VTE-MED Configuration</t>
  </si>
  <si>
    <t>Alternative to be tested: Aluminum Brass</t>
  </si>
  <si>
    <t>Alternatives to be evaluated:</t>
  </si>
  <si>
    <t>double fluted 90/10 CuNi or Aluminum Brass</t>
  </si>
  <si>
    <t>60 Effect 20 MGD VTE-MED</t>
  </si>
  <si>
    <t>Number of 20 MGD VTE Plants in Design/Permitting</t>
  </si>
  <si>
    <t>Number of 20 MGD VTE Plants in Construction</t>
  </si>
  <si>
    <t>Number of 20 MGD VTE Plants in Operation</t>
  </si>
  <si>
    <t>20 MGD VTE Distillation Plants Capital Cost</t>
  </si>
  <si>
    <t>20 MGD VTE Distillation Plants Operating Cost</t>
  </si>
  <si>
    <t>20 MGD VTE Distillation Plants Energy Cost (paid to geothermal)</t>
  </si>
  <si>
    <t>20 MGD VTE Acre-feet of Distilled Water Produced</t>
  </si>
  <si>
    <t>Price of Solar Salt (2017 USGS trendline price per metric tonne)</t>
  </si>
  <si>
    <t>Price of Refined Salt (2017 USGS trendline per metric tonne)</t>
  </si>
  <si>
    <t>Operating Cost Inflation</t>
  </si>
  <si>
    <t>Acre-feet of Distilled Water Sold to Customers (AFY)</t>
  </si>
  <si>
    <t>Acres of land covered (can be dust emmitting playa)</t>
  </si>
  <si>
    <t>Price of water sold per AF</t>
  </si>
  <si>
    <t>20 MGD VTE Acre-feet of Saturated Brine Produced</t>
  </si>
  <si>
    <t>Annual Revenue from Water Sold to Customers</t>
  </si>
  <si>
    <t>Annual Salt in Brine Output</t>
  </si>
  <si>
    <t>20 MGD VTE Metric Tons of Salt in Brine</t>
  </si>
  <si>
    <t>Land covered with solar salt evaporation ponds (acres)</t>
  </si>
  <si>
    <t>Portion of Annual Domestic Solar Salt Consumption (2017 basis)</t>
  </si>
  <si>
    <t>Portion of Annual Domestic Refined Salt Consumption (2017 basis)</t>
  </si>
  <si>
    <t>Imported seawater commodity purchase from Mexico</t>
  </si>
  <si>
    <t>Imported seawater conveyance purchase from State or U.S. Federal</t>
  </si>
  <si>
    <t>Quantity of seawater imported (acre feet per year)</t>
  </si>
  <si>
    <t>Purified salt production from Salinity Gradient Solar Ponds</t>
  </si>
  <si>
    <t>Purified salt &amp; water production from Geothermal Distillation</t>
  </si>
  <si>
    <t>Seawater Import cost (long term contract with US &amp; Mexico)</t>
  </si>
  <si>
    <t>Geothermal Steam &amp; Power Purchase Agreement (Privately Funded)</t>
  </si>
  <si>
    <t>Private Salton Sea Restoration Enterprise Overall Finanacials</t>
  </si>
  <si>
    <t>Power &amp; Water production from Salinity Gradient Solar Ponds</t>
  </si>
  <si>
    <t>Acre-feet of Distilled Water Available (solar)</t>
  </si>
  <si>
    <t>Acre-feet of Seawater drawn by SGSP (25% water/power)</t>
  </si>
  <si>
    <t>Acre-feet of Seawater drawn from  Salton Sea (AFY)</t>
  </si>
  <si>
    <t>Total Seawater drawn from Salton Sea (AFY)</t>
  </si>
  <si>
    <t>Interest Rate on Plant Construction Loans</t>
  </si>
  <si>
    <t>Term of Plant Construction Loans</t>
  </si>
  <si>
    <t>Acre-feet of distilled water supplied to habitat or Salton Sea</t>
  </si>
  <si>
    <t>Domestic salt consumption trendline, from USGS data 2004-2017</t>
  </si>
  <si>
    <t>20 MGD VTE Concentration factor</t>
  </si>
  <si>
    <t>International and interagency agreement schedule</t>
  </si>
  <si>
    <t>Environmental and Permitting Schedule</t>
  </si>
  <si>
    <t>Construction Schedule</t>
  </si>
  <si>
    <t>Acres of habitat sustained with distilled water by SGSP, if wanted</t>
  </si>
  <si>
    <t>Salton Sea Restoration Company, management team in place</t>
  </si>
  <si>
    <t>Salton Sea Restoration Company, design engineering team in place</t>
  </si>
  <si>
    <t>Operation Schedule</t>
  </si>
  <si>
    <t>Ocean Water Import Schedule (US &amp; Mexico)</t>
  </si>
  <si>
    <t>Capacity Factor to 20 MGD</t>
  </si>
  <si>
    <t>Cost to Feed 20 MGD VTE</t>
  </si>
  <si>
    <t>Price of Refined Salt (2018 USGS trendline per metric tonne)</t>
  </si>
  <si>
    <t>Price of Solar Salt (2018 USGS trendline price per metric tonne)</t>
  </si>
  <si>
    <t>Domestic salt consumption trendline, from USGS data 2004-2019</t>
  </si>
  <si>
    <t>Portion of Annual Domestic Solar Salt Consumption (2019 basis)</t>
  </si>
  <si>
    <t>Portion of Annual Domestic Refined Salt Consumption (2019 basis)</t>
  </si>
  <si>
    <t>Quantity of groundwater to Salton Sea (acre feet per year)</t>
  </si>
  <si>
    <t>Cost of groundwater to Salton Sea (per acre foot)</t>
  </si>
  <si>
    <t>Cost of groundwater conveyance (per acre foot)</t>
  </si>
  <si>
    <t>Acre-feet of distilled water supplied to habitat and recreation (AFY)</t>
  </si>
  <si>
    <t>Mixed Salts to Salt Crust on Playa</t>
  </si>
  <si>
    <t>Playa Covered per year (square miles)</t>
  </si>
  <si>
    <t>Cumulative Playa Covered with Salt Crust (square miles)</t>
  </si>
  <si>
    <t>Square Miles of Mixed Salt Playa Coverage in Operation</t>
  </si>
  <si>
    <t>Square Miles of Mixed Salt Playa Coverage in Construction</t>
  </si>
  <si>
    <t>Square Miles of Mixed Salt Playa Coverage in Design/Permitting</t>
  </si>
  <si>
    <t>Mixed Salt Evaporation Ponds Capital Cost</t>
  </si>
  <si>
    <t>Mixed Salt Evaporation Ponds Operating Cost</t>
  </si>
  <si>
    <t>Price of water per AF</t>
  </si>
  <si>
    <t>Annual Revenue from Water Sold to Projects</t>
  </si>
  <si>
    <t>Acres of land covered with salt evaporation ponds and/or crust</t>
  </si>
  <si>
    <t>Acre-feet of Groundwater Delivered to Salton Sea</t>
  </si>
  <si>
    <t>Groundwater Wellfields and Recharge Capital Cost</t>
  </si>
  <si>
    <t>Groundwater Wellfields and Recharge Operating Cost</t>
  </si>
  <si>
    <t>Salton Sea Basin Water Recycling Project</t>
  </si>
  <si>
    <t>NaCl in feed</t>
  </si>
  <si>
    <t>NF Pass Ratio</t>
  </si>
  <si>
    <t>TDS of Salton Sea (mg/liter)</t>
  </si>
  <si>
    <t>Metric Tons of Solar Salt Produced for Sale</t>
  </si>
  <si>
    <t>Metric Tons of Solar Salt Produced and Stored as Playa Cover</t>
  </si>
  <si>
    <t>Annual Base Cost</t>
  </si>
  <si>
    <t>Acre-feet of Distilled Water Sold to Projects (AFY) zero, given away</t>
  </si>
  <si>
    <t>Mixed Salts to Salt Crust (AFY)</t>
  </si>
  <si>
    <t>Mixed Salts to Salt Crust (metric tons per year)</t>
  </si>
  <si>
    <t>Number of 5 MGD VTE Plants in Design/Permitting</t>
  </si>
  <si>
    <t>Number of 5 MGD VTE Plants in Construction</t>
  </si>
  <si>
    <t>5 MGD VTE Distillation Plants Capital Cost</t>
  </si>
  <si>
    <t>5 MGD VTE Distillation Plants Operating Cost</t>
  </si>
  <si>
    <t>5 MGD VTE Distillation Plants Energy Cost (paid to geothermal)</t>
  </si>
  <si>
    <t>5 MGD VTE Acre-feet of Distilled Water Produced</t>
  </si>
  <si>
    <t>5 MGD VTE Concentration factor</t>
  </si>
  <si>
    <t>5 MGD VTE Acre-feet of Saturated Brine Produced</t>
  </si>
  <si>
    <t>5 MGD VTE Metric Tons of Salt in Brine</t>
  </si>
  <si>
    <t>Number of 5 MGD VTE Plants in Operation (1 per year up to 1)</t>
  </si>
  <si>
    <t>Number of 20 MGD VTE Plants in Operation (1 per year up to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</si>
</sst>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&quot;$&quot;#,##0.00_);[Red]\(&quot;$&quot;#,##0.00\)"/>
    <numFmt numFmtId="164" formatCode="\$#,##0.00"/>
    <numFmt numFmtId="165" formatCode="[$$-409]#,##0.00;[Red]\-[$$-409]#,##0.00"/>
    <numFmt numFmtId="166" formatCode="#,##0.0"/>
    <numFmt numFmtId="167" formatCode="0.00000"/>
    <numFmt numFmtId="168" formatCode="#,##0.0000"/>
    <numFmt numFmtId="169" formatCode="\$#,##0.0000"/>
    <numFmt numFmtId="170" formatCode="#,##0.0000000"/>
    <numFmt numFmtId="171" formatCode="0.0"/>
    <numFmt numFmtId="172" formatCode="#,##0.000000"/>
    <numFmt numFmtId="173" formatCode="\$#,##0.0000000"/>
    <numFmt numFmtId="174" formatCode="\$#,##0.00000"/>
    <numFmt numFmtId="175" formatCode="\$#,##0.000"/>
    <numFmt numFmtId="176" formatCode="[$$-409]#,##0;[Red]\-[$$-409]#,##0"/>
    <numFmt numFmtId="177" formatCode="0.0%"/>
    <numFmt numFmtId="178" formatCode="[$$-409]#,##0.0000;[Red]\-[$$-409]#,##0.0000"/>
    <numFmt numFmtId="179" formatCode="[$$-409]#,##0.0000;[Red][$$-409]#,##0.0000"/>
    <numFmt numFmtId="180" formatCode="[$$-409]#,##0.000;[Red][$$-409]#,##0.000"/>
    <numFmt numFmtId="181" formatCode="[$$-409]#,##0.00;[Red][$$-409]#,##0.00"/>
    <numFmt numFmtId="182" formatCode="#,##0.000"/>
    <numFmt numFmtId="183" formatCode="\$#,##0"/>
    <numFmt numFmtId="184" formatCode="_(\$* #,##0.00_);_(\$* \(#,##0.00\);_(\$* \-??_);_(@_)"/>
    <numFmt numFmtId="185" formatCode="&quot;$&quot;#,##0.00"/>
    <numFmt numFmtId="186" formatCode="#,##0;[Red]#,##0"/>
    <numFmt numFmtId="187" formatCode="#,##0.00;[Red]#,##0.00"/>
    <numFmt numFmtId="188" formatCode="&quot;$&quot;#,##0"/>
    <numFmt numFmtId="189" formatCode="#,##0.0;[Red]#,##0.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vertAlign val="super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5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66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6" fillId="0" borderId="0"/>
    <xf numFmtId="184" fontId="13" fillId="0" borderId="0" applyFill="0" applyBorder="0" applyAlignment="0" applyProtection="0"/>
    <xf numFmtId="0" fontId="2" fillId="0" borderId="0"/>
  </cellStyleXfs>
  <cellXfs count="185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Font="1"/>
    <xf numFmtId="2" fontId="0" fillId="0" borderId="0" xfId="0" applyNumberFormat="1"/>
    <xf numFmtId="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3" fillId="0" borderId="0" xfId="0" applyNumberFormat="1" applyFont="1"/>
    <xf numFmtId="3" fontId="3" fillId="0" borderId="0" xfId="0" applyNumberFormat="1" applyFont="1"/>
    <xf numFmtId="3" fontId="0" fillId="0" borderId="0" xfId="0" applyNumberFormat="1" applyFont="1" applyAlignment="1">
      <alignment wrapText="1"/>
    </xf>
    <xf numFmtId="4" fontId="0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169" fontId="0" fillId="0" borderId="0" xfId="0" applyNumberFormat="1"/>
    <xf numFmtId="170" fontId="0" fillId="0" borderId="0" xfId="0" applyNumberFormat="1"/>
    <xf numFmtId="1" fontId="0" fillId="0" borderId="0" xfId="0" applyNumberFormat="1"/>
    <xf numFmtId="171" fontId="0" fillId="0" borderId="0" xfId="0" applyNumberFormat="1"/>
    <xf numFmtId="172" fontId="0" fillId="0" borderId="0" xfId="0" applyNumberFormat="1"/>
    <xf numFmtId="169" fontId="0" fillId="2" borderId="0" xfId="0" applyNumberFormat="1" applyFill="1"/>
    <xf numFmtId="173" fontId="0" fillId="0" borderId="0" xfId="0" applyNumberFormat="1"/>
    <xf numFmtId="174" fontId="0" fillId="0" borderId="0" xfId="0" applyNumberFormat="1"/>
    <xf numFmtId="175" fontId="0" fillId="2" borderId="0" xfId="0" applyNumberFormat="1" applyFill="1"/>
    <xf numFmtId="176" fontId="3" fillId="0" borderId="0" xfId="0" applyNumberFormat="1" applyFont="1"/>
    <xf numFmtId="164" fontId="0" fillId="0" borderId="0" xfId="0" applyNumberFormat="1" applyFont="1"/>
    <xf numFmtId="176" fontId="0" fillId="0" borderId="0" xfId="0" applyNumberFormat="1"/>
    <xf numFmtId="177" fontId="0" fillId="0" borderId="0" xfId="0" applyNumberFormat="1"/>
    <xf numFmtId="3" fontId="0" fillId="0" borderId="0" xfId="0" applyNumberFormat="1" applyFont="1"/>
    <xf numFmtId="9" fontId="0" fillId="0" borderId="0" xfId="0" applyNumberFormat="1" applyFont="1"/>
    <xf numFmtId="178" fontId="0" fillId="0" borderId="0" xfId="0" applyNumberFormat="1"/>
    <xf numFmtId="165" fontId="0" fillId="0" borderId="0" xfId="0" applyNumberFormat="1" applyFont="1"/>
    <xf numFmtId="178" fontId="0" fillId="0" borderId="0" xfId="0" applyNumberFormat="1" applyFont="1"/>
    <xf numFmtId="179" fontId="0" fillId="0" borderId="0" xfId="0" applyNumberFormat="1" applyFont="1"/>
    <xf numFmtId="180" fontId="0" fillId="0" borderId="0" xfId="0" applyNumberFormat="1" applyFont="1"/>
    <xf numFmtId="0" fontId="3" fillId="0" borderId="0" xfId="0" applyFont="1" applyAlignment="1">
      <alignment wrapText="1"/>
    </xf>
    <xf numFmtId="181" fontId="0" fillId="0" borderId="0" xfId="0" applyNumberFormat="1"/>
    <xf numFmtId="2" fontId="0" fillId="0" borderId="0" xfId="0" applyNumberFormat="1" applyFont="1"/>
    <xf numFmtId="176" fontId="0" fillId="0" borderId="0" xfId="0" applyNumberFormat="1" applyFont="1"/>
    <xf numFmtId="0" fontId="0" fillId="0" borderId="0" xfId="0" applyFont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82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83" fontId="0" fillId="0" borderId="0" xfId="0" applyNumberFormat="1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3" xfId="0" applyFont="1" applyBorder="1"/>
    <xf numFmtId="183" fontId="0" fillId="0" borderId="4" xfId="0" applyNumberForma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5" xfId="0" applyFont="1" applyBorder="1"/>
    <xf numFmtId="183" fontId="0" fillId="0" borderId="6" xfId="0" applyNumberFormat="1" applyBorder="1"/>
    <xf numFmtId="0" fontId="3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0" borderId="0" xfId="0" applyNumberFormat="1" applyBorder="1"/>
    <xf numFmtId="3" fontId="0" fillId="0" borderId="0" xfId="0" applyNumberFormat="1" applyBorder="1"/>
    <xf numFmtId="0" fontId="0" fillId="5" borderId="0" xfId="0" applyFill="1"/>
    <xf numFmtId="165" fontId="0" fillId="5" borderId="0" xfId="0" applyNumberFormat="1" applyFill="1"/>
    <xf numFmtId="0" fontId="0" fillId="6" borderId="0" xfId="0" applyFill="1"/>
    <xf numFmtId="165" fontId="0" fillId="6" borderId="0" xfId="0" applyNumberFormat="1" applyFill="1"/>
    <xf numFmtId="0" fontId="0" fillId="7" borderId="0" xfId="0" applyFill="1"/>
    <xf numFmtId="165" fontId="0" fillId="7" borderId="0" xfId="0" applyNumberFormat="1" applyFill="1"/>
    <xf numFmtId="165" fontId="0" fillId="8" borderId="0" xfId="0" applyNumberFormat="1" applyFill="1"/>
    <xf numFmtId="0" fontId="0" fillId="0" borderId="0" xfId="0" applyFill="1"/>
    <xf numFmtId="165" fontId="0" fillId="0" borderId="0" xfId="0" applyNumberFormat="1" applyFill="1"/>
    <xf numFmtId="3" fontId="0" fillId="5" borderId="0" xfId="0" applyNumberFormat="1" applyFill="1"/>
    <xf numFmtId="9" fontId="0" fillId="0" borderId="0" xfId="0" applyNumberFormat="1" applyFill="1"/>
    <xf numFmtId="10" fontId="0" fillId="8" borderId="0" xfId="0" applyNumberFormat="1" applyFill="1"/>
    <xf numFmtId="3" fontId="0" fillId="8" borderId="0" xfId="0" applyNumberFormat="1" applyFill="1"/>
    <xf numFmtId="185" fontId="0" fillId="6" borderId="0" xfId="0" applyNumberFormat="1" applyFill="1"/>
    <xf numFmtId="185" fontId="0" fillId="0" borderId="0" xfId="0" applyNumberFormat="1"/>
    <xf numFmtId="0" fontId="0" fillId="9" borderId="0" xfId="0" applyFill="1"/>
    <xf numFmtId="165" fontId="0" fillId="9" borderId="0" xfId="0" applyNumberFormat="1" applyFill="1"/>
    <xf numFmtId="186" fontId="0" fillId="9" borderId="0" xfId="0" applyNumberFormat="1" applyFill="1"/>
    <xf numFmtId="186" fontId="0" fillId="10" borderId="0" xfId="0" applyNumberFormat="1" applyFill="1"/>
    <xf numFmtId="0" fontId="0" fillId="10" borderId="0" xfId="0" applyFill="1"/>
    <xf numFmtId="3" fontId="0" fillId="10" borderId="0" xfId="0" applyNumberFormat="1" applyFill="1"/>
    <xf numFmtId="165" fontId="0" fillId="10" borderId="0" xfId="0" applyNumberFormat="1" applyFill="1"/>
    <xf numFmtId="186" fontId="0" fillId="0" borderId="0" xfId="0" applyNumberFormat="1"/>
    <xf numFmtId="0" fontId="0" fillId="12" borderId="0" xfId="0" applyFill="1"/>
    <xf numFmtId="185" fontId="0" fillId="10" borderId="0" xfId="0" applyNumberFormat="1" applyFill="1"/>
    <xf numFmtId="185" fontId="0" fillId="5" borderId="0" xfId="0" applyNumberFormat="1" applyFill="1"/>
    <xf numFmtId="187" fontId="0" fillId="0" borderId="0" xfId="0" applyNumberFormat="1"/>
    <xf numFmtId="0" fontId="0" fillId="10" borderId="0" xfId="0" applyFont="1" applyFill="1"/>
    <xf numFmtId="0" fontId="0" fillId="13" borderId="0" xfId="0" applyFill="1"/>
    <xf numFmtId="186" fontId="0" fillId="13" borderId="0" xfId="0" applyNumberFormat="1" applyFill="1"/>
    <xf numFmtId="165" fontId="0" fillId="13" borderId="0" xfId="0" applyNumberFormat="1" applyFill="1"/>
    <xf numFmtId="0" fontId="0" fillId="0" borderId="0" xfId="0" applyFont="1" applyFill="1"/>
    <xf numFmtId="186" fontId="0" fillId="0" borderId="0" xfId="0" applyNumberFormat="1" applyFill="1"/>
    <xf numFmtId="0" fontId="0" fillId="13" borderId="0" xfId="0" applyFont="1" applyFill="1"/>
    <xf numFmtId="0" fontId="0" fillId="14" borderId="0" xfId="0" applyFont="1" applyFill="1"/>
    <xf numFmtId="186" fontId="0" fillId="14" borderId="0" xfId="0" applyNumberFormat="1" applyFill="1"/>
    <xf numFmtId="165" fontId="0" fillId="14" borderId="0" xfId="0" applyNumberFormat="1" applyFill="1"/>
    <xf numFmtId="0" fontId="0" fillId="14" borderId="0" xfId="0" applyFill="1"/>
    <xf numFmtId="0" fontId="2" fillId="0" borderId="0" xfId="3"/>
    <xf numFmtId="4" fontId="2" fillId="7" borderId="0" xfId="3" applyNumberFormat="1" applyFill="1"/>
    <xf numFmtId="3" fontId="2" fillId="0" borderId="0" xfId="3" applyNumberFormat="1"/>
    <xf numFmtId="10" fontId="2" fillId="0" borderId="0" xfId="3" applyNumberFormat="1" applyFill="1"/>
    <xf numFmtId="188" fontId="0" fillId="0" borderId="0" xfId="0" applyNumberFormat="1"/>
    <xf numFmtId="0" fontId="0" fillId="0" borderId="0" xfId="0" applyAlignment="1">
      <alignment horizontal="center"/>
    </xf>
    <xf numFmtId="0" fontId="0" fillId="15" borderId="0" xfId="0" applyFont="1" applyFill="1"/>
    <xf numFmtId="186" fontId="0" fillId="15" borderId="0" xfId="0" applyNumberFormat="1" applyFill="1"/>
    <xf numFmtId="165" fontId="0" fillId="15" borderId="0" xfId="0" applyNumberFormat="1" applyFill="1"/>
    <xf numFmtId="0" fontId="0" fillId="15" borderId="0" xfId="0" applyFill="1"/>
    <xf numFmtId="0" fontId="1" fillId="0" borderId="0" xfId="3" applyFont="1"/>
    <xf numFmtId="177" fontId="0" fillId="6" borderId="0" xfId="0" applyNumberFormat="1" applyFill="1"/>
    <xf numFmtId="177" fontId="0" fillId="13" borderId="0" xfId="0" applyNumberFormat="1" applyFill="1"/>
    <xf numFmtId="177" fontId="0" fillId="7" borderId="0" xfId="0" applyNumberFormat="1" applyFill="1"/>
    <xf numFmtId="177" fontId="0" fillId="10" borderId="0" xfId="0" applyNumberFormat="1" applyFill="1"/>
    <xf numFmtId="177" fontId="0" fillId="0" borderId="0" xfId="0" applyNumberFormat="1" applyFill="1"/>
    <xf numFmtId="177" fontId="0" fillId="0" borderId="0" xfId="0" applyNumberFormat="1" applyFont="1"/>
    <xf numFmtId="177" fontId="0" fillId="10" borderId="0" xfId="0" applyNumberFormat="1" applyFont="1" applyFill="1"/>
    <xf numFmtId="177" fontId="0" fillId="5" borderId="0" xfId="0" applyNumberFormat="1" applyFill="1"/>
    <xf numFmtId="177" fontId="0" fillId="9" borderId="0" xfId="0" applyNumberFormat="1" applyFill="1"/>
    <xf numFmtId="177" fontId="0" fillId="0" borderId="0" xfId="0" applyNumberFormat="1" applyFont="1" applyFill="1"/>
    <xf numFmtId="177" fontId="0" fillId="13" borderId="0" xfId="0" applyNumberFormat="1" applyFont="1" applyFill="1"/>
    <xf numFmtId="177" fontId="0" fillId="15" borderId="0" xfId="0" applyNumberFormat="1" applyFont="1" applyFill="1"/>
    <xf numFmtId="177" fontId="0" fillId="14" borderId="0" xfId="0" applyNumberFormat="1" applyFont="1" applyFill="1"/>
    <xf numFmtId="177" fontId="0" fillId="15" borderId="0" xfId="0" applyNumberFormat="1" applyFill="1"/>
    <xf numFmtId="3" fontId="0" fillId="15" borderId="0" xfId="0" applyNumberFormat="1" applyFill="1"/>
    <xf numFmtId="189" fontId="0" fillId="0" borderId="0" xfId="0" applyNumberForma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76" fontId="3" fillId="0" borderId="0" xfId="0" applyNumberFormat="1" applyFont="1" applyProtection="1">
      <protection locked="0"/>
    </xf>
    <xf numFmtId="177" fontId="0" fillId="0" borderId="0" xfId="0" applyNumberFormat="1" applyProtection="1">
      <protection locked="0"/>
    </xf>
    <xf numFmtId="165" fontId="0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85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80" fontId="0" fillId="0" borderId="0" xfId="0" applyNumberFormat="1" applyFont="1" applyProtection="1">
      <protection locked="0"/>
    </xf>
    <xf numFmtId="178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ont="1" applyAlignment="1" applyProtection="1">
      <protection locked="0"/>
    </xf>
    <xf numFmtId="187" fontId="0" fillId="0" borderId="0" xfId="0" applyNumberFormat="1" applyFont="1" applyProtection="1">
      <protection locked="0"/>
    </xf>
    <xf numFmtId="185" fontId="0" fillId="10" borderId="0" xfId="0" applyNumberFormat="1" applyFont="1" applyFill="1"/>
    <xf numFmtId="0" fontId="0" fillId="5" borderId="0" xfId="0" applyFont="1" applyFill="1"/>
    <xf numFmtId="185" fontId="0" fillId="5" borderId="0" xfId="0" applyNumberFormat="1" applyFont="1" applyFill="1"/>
    <xf numFmtId="3" fontId="0" fillId="12" borderId="0" xfId="0" applyNumberFormat="1" applyFill="1"/>
    <xf numFmtId="177" fontId="0" fillId="12" borderId="0" xfId="0" applyNumberFormat="1" applyFill="1"/>
    <xf numFmtId="185" fontId="0" fillId="16" borderId="0" xfId="0" applyNumberFormat="1" applyFill="1"/>
    <xf numFmtId="3" fontId="0" fillId="0" borderId="0" xfId="0" applyNumberFormat="1" applyFill="1"/>
    <xf numFmtId="0" fontId="3" fillId="0" borderId="0" xfId="0" applyFont="1" applyFill="1"/>
    <xf numFmtId="0" fontId="0" fillId="17" borderId="0" xfId="0" applyFill="1"/>
    <xf numFmtId="177" fontId="0" fillId="17" borderId="0" xfId="0" applyNumberFormat="1" applyFill="1"/>
    <xf numFmtId="3" fontId="0" fillId="17" borderId="0" xfId="0" applyNumberFormat="1" applyFill="1"/>
    <xf numFmtId="0" fontId="0" fillId="9" borderId="0" xfId="0" applyFont="1" applyFill="1"/>
    <xf numFmtId="185" fontId="0" fillId="9" borderId="0" xfId="0" applyNumberFormat="1" applyFont="1" applyFill="1"/>
    <xf numFmtId="3" fontId="0" fillId="9" borderId="0" xfId="0" applyNumberFormat="1" applyFill="1"/>
    <xf numFmtId="177" fontId="0" fillId="9" borderId="0" xfId="0" applyNumberFormat="1" applyFont="1" applyFill="1"/>
    <xf numFmtId="8" fontId="0" fillId="5" borderId="0" xfId="0" applyNumberFormat="1" applyFill="1"/>
    <xf numFmtId="0" fontId="0" fillId="11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1" borderId="0" xfId="0" applyNumberFormat="1" applyFill="1"/>
    <xf numFmtId="3" fontId="0" fillId="19" borderId="0" xfId="0" applyNumberFormat="1" applyFill="1"/>
    <xf numFmtId="177" fontId="0" fillId="11" borderId="0" xfId="0" applyNumberFormat="1" applyFill="1"/>
    <xf numFmtId="165" fontId="0" fillId="11" borderId="0" xfId="0" applyNumberFormat="1" applyFill="1"/>
    <xf numFmtId="186" fontId="0" fillId="11" borderId="0" xfId="0" applyNumberFormat="1" applyFill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urrency 2" xfId="2"/>
    <cellStyle name="Excel Built-in Normal" xfId="1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Salton Sea Water Recycling Project, Long Term Financial Estimates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43920766130428"/>
          <c:y val="6.7029436112661961E-2"/>
          <c:w val="0.86327746388865179"/>
          <c:h val="0.71454594459311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'Annual Cost &amp; Revenue 20 MGD US'!$A$104</c:f>
              <c:strCache>
                <c:ptCount val="1"/>
                <c:pt idx="0">
                  <c:v>Total Capital Costs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US'!$C$104:$BH$104</c:f>
              <c:numCache>
                <c:formatCode>[$$-409]#,##0.00;[Red]\-[$$-409]#,##0.00</c:formatCode>
                <c:ptCount val="58"/>
                <c:pt idx="0">
                  <c:v>12684794.662893724</c:v>
                </c:pt>
                <c:pt idx="1">
                  <c:v>33556614.662893727</c:v>
                </c:pt>
                <c:pt idx="2">
                  <c:v>28449289.719186317</c:v>
                </c:pt>
                <c:pt idx="3">
                  <c:v>214586502.03142962</c:v>
                </c:pt>
                <c:pt idx="4">
                  <c:v>210993296.07516199</c:v>
                </c:pt>
                <c:pt idx="5">
                  <c:v>163579463.34976849</c:v>
                </c:pt>
                <c:pt idx="6">
                  <c:v>177005040.71929413</c:v>
                </c:pt>
                <c:pt idx="7">
                  <c:v>195002852.43451008</c:v>
                </c:pt>
                <c:pt idx="8">
                  <c:v>186875143.33621082</c:v>
                </c:pt>
                <c:pt idx="9">
                  <c:v>71436710.670766965</c:v>
                </c:pt>
                <c:pt idx="10">
                  <c:v>70941499.40017511</c:v>
                </c:pt>
                <c:pt idx="11">
                  <c:v>70448667.632621825</c:v>
                </c:pt>
                <c:pt idx="12">
                  <c:v>69967849.073311135</c:v>
                </c:pt>
                <c:pt idx="13">
                  <c:v>69481564.718945548</c:v>
                </c:pt>
                <c:pt idx="14">
                  <c:v>69003650.501342759</c:v>
                </c:pt>
                <c:pt idx="15">
                  <c:v>68524810.023410767</c:v>
                </c:pt>
                <c:pt idx="16">
                  <c:v>68075953.987928361</c:v>
                </c:pt>
                <c:pt idx="17">
                  <c:v>67627415.069703579</c:v>
                </c:pt>
                <c:pt idx="18">
                  <c:v>67198279.952541798</c:v>
                </c:pt>
                <c:pt idx="19">
                  <c:v>66778137.201854594</c:v>
                </c:pt>
                <c:pt idx="20">
                  <c:v>66384168.429340266</c:v>
                </c:pt>
                <c:pt idx="21">
                  <c:v>65992562.496504955</c:v>
                </c:pt>
                <c:pt idx="22">
                  <c:v>65610351.128368534</c:v>
                </c:pt>
                <c:pt idx="23">
                  <c:v>65065981.724611841</c:v>
                </c:pt>
                <c:pt idx="24">
                  <c:v>64593223.730946772</c:v>
                </c:pt>
                <c:pt idx="25">
                  <c:v>64158744.009840123</c:v>
                </c:pt>
                <c:pt idx="26">
                  <c:v>63777110.527208753</c:v>
                </c:pt>
                <c:pt idx="27">
                  <c:v>63429379.745743461</c:v>
                </c:pt>
                <c:pt idx="28">
                  <c:v>63107889.861178905</c:v>
                </c:pt>
                <c:pt idx="29">
                  <c:v>62826070.206410863</c:v>
                </c:pt>
                <c:pt idx="30">
                  <c:v>62564730.627511427</c:v>
                </c:pt>
                <c:pt idx="31">
                  <c:v>62326373.40166454</c:v>
                </c:pt>
                <c:pt idx="32">
                  <c:v>62111961.748891309</c:v>
                </c:pt>
                <c:pt idx="33">
                  <c:v>61912597.976668023</c:v>
                </c:pt>
                <c:pt idx="34">
                  <c:v>87305443.797097862</c:v>
                </c:pt>
                <c:pt idx="35">
                  <c:v>178722298.89653969</c:v>
                </c:pt>
                <c:pt idx="36">
                  <c:v>149813878.63866377</c:v>
                </c:pt>
                <c:pt idx="37">
                  <c:v>142182555.62730074</c:v>
                </c:pt>
                <c:pt idx="38">
                  <c:v>31920797.626438219</c:v>
                </c:pt>
                <c:pt idx="39">
                  <c:v>31921220.839133594</c:v>
                </c:pt>
                <c:pt idx="40">
                  <c:v>31922630.211281192</c:v>
                </c:pt>
                <c:pt idx="41">
                  <c:v>31924998.646330703</c:v>
                </c:pt>
                <c:pt idx="42">
                  <c:v>31928301.97169346</c:v>
                </c:pt>
                <c:pt idx="43">
                  <c:v>31932518.796235021</c:v>
                </c:pt>
                <c:pt idx="44">
                  <c:v>31937630.337271456</c:v>
                </c:pt>
                <c:pt idx="45">
                  <c:v>31941751.244482275</c:v>
                </c:pt>
                <c:pt idx="46">
                  <c:v>31946779.266997375</c:v>
                </c:pt>
                <c:pt idx="47">
                  <c:v>31952697.971945021</c:v>
                </c:pt>
                <c:pt idx="48">
                  <c:v>31957603.86002947</c:v>
                </c:pt>
                <c:pt idx="49">
                  <c:v>31965489.33242587</c:v>
                </c:pt>
                <c:pt idx="50">
                  <c:v>31974199.806677487</c:v>
                </c:pt>
                <c:pt idx="51">
                  <c:v>31981790.381565738</c:v>
                </c:pt>
                <c:pt idx="52">
                  <c:v>31981790.381565738</c:v>
                </c:pt>
                <c:pt idx="53">
                  <c:v>31981790.381565738</c:v>
                </c:pt>
                <c:pt idx="54">
                  <c:v>31981790.381565738</c:v>
                </c:pt>
                <c:pt idx="55">
                  <c:v>31981790.381565738</c:v>
                </c:pt>
                <c:pt idx="56">
                  <c:v>31981790.381565738</c:v>
                </c:pt>
                <c:pt idx="5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'Annual Cost &amp; Revenue 20 MGD US'!$A$108</c:f>
              <c:strCache>
                <c:ptCount val="1"/>
                <c:pt idx="0">
                  <c:v>Total Operating Costs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US'!$C$108:$BH$108</c:f>
              <c:numCache>
                <c:formatCode>[$$-409]#,##0.00;[Red]\-[$$-409]#,##0.00</c:formatCode>
                <c:ptCount val="58"/>
                <c:pt idx="0">
                  <c:v>2371160</c:v>
                </c:pt>
                <c:pt idx="1">
                  <c:v>2371160</c:v>
                </c:pt>
                <c:pt idx="2">
                  <c:v>25375788.904494669</c:v>
                </c:pt>
                <c:pt idx="3">
                  <c:v>25379702.169163842</c:v>
                </c:pt>
                <c:pt idx="4">
                  <c:v>104476135.89976025</c:v>
                </c:pt>
                <c:pt idx="5">
                  <c:v>153267018.87772053</c:v>
                </c:pt>
                <c:pt idx="6">
                  <c:v>172256619.50153095</c:v>
                </c:pt>
                <c:pt idx="7">
                  <c:v>192871225.3201094</c:v>
                </c:pt>
                <c:pt idx="8">
                  <c:v>213456253.10316023</c:v>
                </c:pt>
                <c:pt idx="9">
                  <c:v>233996882.5752261</c:v>
                </c:pt>
                <c:pt idx="10">
                  <c:v>233895789.36923638</c:v>
                </c:pt>
                <c:pt idx="11">
                  <c:v>233790593.51216477</c:v>
                </c:pt>
                <c:pt idx="12">
                  <c:v>233685903.12392312</c:v>
                </c:pt>
                <c:pt idx="13">
                  <c:v>233583764.65606844</c:v>
                </c:pt>
                <c:pt idx="14">
                  <c:v>233480465.11004463</c:v>
                </c:pt>
                <c:pt idx="15">
                  <c:v>233378943.60051328</c:v>
                </c:pt>
                <c:pt idx="16">
                  <c:v>233277225.32900372</c:v>
                </c:pt>
                <c:pt idx="17">
                  <c:v>233181876.5391874</c:v>
                </c:pt>
                <c:pt idx="18">
                  <c:v>233086595.11339062</c:v>
                </c:pt>
                <c:pt idx="19">
                  <c:v>232995435.56365862</c:v>
                </c:pt>
                <c:pt idx="20">
                  <c:v>232906186.2283231</c:v>
                </c:pt>
                <c:pt idx="21">
                  <c:v>232822496.93216765</c:v>
                </c:pt>
                <c:pt idx="22">
                  <c:v>232739309.5651077</c:v>
                </c:pt>
                <c:pt idx="23">
                  <c:v>232658117.84989175</c:v>
                </c:pt>
                <c:pt idx="24">
                  <c:v>232542479.5165329</c:v>
                </c:pt>
                <c:pt idx="25">
                  <c:v>232442053.32414916</c:v>
                </c:pt>
                <c:pt idx="26">
                  <c:v>232349758.44041714</c:v>
                </c:pt>
                <c:pt idx="27">
                  <c:v>232279893.64742702</c:v>
                </c:pt>
                <c:pt idx="28">
                  <c:v>232260820.10926163</c:v>
                </c:pt>
                <c:pt idx="29">
                  <c:v>232243371.85868487</c:v>
                </c:pt>
                <c:pt idx="30">
                  <c:v>232228380.67092764</c:v>
                </c:pt>
                <c:pt idx="31">
                  <c:v>232214657.96165454</c:v>
                </c:pt>
                <c:pt idx="32">
                  <c:v>232202358.7148993</c:v>
                </c:pt>
                <c:pt idx="33">
                  <c:v>232191542.58980969</c:v>
                </c:pt>
                <c:pt idx="34">
                  <c:v>232181658.48825517</c:v>
                </c:pt>
                <c:pt idx="35">
                  <c:v>232172641.77392349</c:v>
                </c:pt>
                <c:pt idx="36">
                  <c:v>212063178.6656065</c:v>
                </c:pt>
                <c:pt idx="37">
                  <c:v>178969373.58576337</c:v>
                </c:pt>
                <c:pt idx="38">
                  <c:v>141549906.28909376</c:v>
                </c:pt>
                <c:pt idx="39">
                  <c:v>141552333.48057577</c:v>
                </c:pt>
                <c:pt idx="40">
                  <c:v>141554823.62477148</c:v>
                </c:pt>
                <c:pt idx="41">
                  <c:v>141557374.848919</c:v>
                </c:pt>
                <c:pt idx="42">
                  <c:v>141559985.47473392</c:v>
                </c:pt>
                <c:pt idx="43">
                  <c:v>141562654.00503394</c:v>
                </c:pt>
                <c:pt idx="44">
                  <c:v>141565379.11491212</c:v>
                </c:pt>
                <c:pt idx="45">
                  <c:v>141568159.64102173</c:v>
                </c:pt>
                <c:pt idx="46">
                  <c:v>141570878.81004936</c:v>
                </c:pt>
                <c:pt idx="47">
                  <c:v>141573654.16325587</c:v>
                </c:pt>
                <c:pt idx="48">
                  <c:v>141576484.68283528</c:v>
                </c:pt>
                <c:pt idx="49">
                  <c:v>141579252.47137752</c:v>
                </c:pt>
                <c:pt idx="50">
                  <c:v>141582204.80701891</c:v>
                </c:pt>
                <c:pt idx="51">
                  <c:v>141585208.24096239</c:v>
                </c:pt>
                <c:pt idx="52">
                  <c:v>141588142.31147885</c:v>
                </c:pt>
                <c:pt idx="53">
                  <c:v>141590606.24306667</c:v>
                </c:pt>
                <c:pt idx="54">
                  <c:v>141593070.17465448</c:v>
                </c:pt>
                <c:pt idx="55">
                  <c:v>141595534.1062423</c:v>
                </c:pt>
                <c:pt idx="56">
                  <c:v>141597998.03783008</c:v>
                </c:pt>
                <c:pt idx="57">
                  <c:v>141600461.96941787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'Annual Cost &amp; Revenue 20 MGD US'!$A$103</c:f>
              <c:strCache>
                <c:ptCount val="1"/>
                <c:pt idx="0">
                  <c:v>Total Revenue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US'!$C$103:$BH$103</c:f>
              <c:numCache>
                <c:formatCode>[$$-409]#,##0.00;[Red]\-[$$-409]#,##0.00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184017491.70800009</c:v>
                </c:pt>
                <c:pt idx="3">
                  <c:v>189479585.91800001</c:v>
                </c:pt>
                <c:pt idx="4">
                  <c:v>445609864.03199995</c:v>
                </c:pt>
                <c:pt idx="5">
                  <c:v>573987047.92500007</c:v>
                </c:pt>
                <c:pt idx="6">
                  <c:v>586725715.72199988</c:v>
                </c:pt>
                <c:pt idx="7">
                  <c:v>599501667.42299986</c:v>
                </c:pt>
                <c:pt idx="8">
                  <c:v>612314903.028</c:v>
                </c:pt>
                <c:pt idx="9">
                  <c:v>625165422.53699982</c:v>
                </c:pt>
                <c:pt idx="10">
                  <c:v>638053225.94999969</c:v>
                </c:pt>
                <c:pt idx="11">
                  <c:v>650978313.26699996</c:v>
                </c:pt>
                <c:pt idx="12">
                  <c:v>663940684.4879998</c:v>
                </c:pt>
                <c:pt idx="13">
                  <c:v>676940339.61299968</c:v>
                </c:pt>
                <c:pt idx="14">
                  <c:v>689977278.64199996</c:v>
                </c:pt>
                <c:pt idx="15">
                  <c:v>703051501.57499981</c:v>
                </c:pt>
                <c:pt idx="16">
                  <c:v>716163008.41200018</c:v>
                </c:pt>
                <c:pt idx="17">
                  <c:v>729311799.15300012</c:v>
                </c:pt>
                <c:pt idx="18">
                  <c:v>742497873.79799998</c:v>
                </c:pt>
                <c:pt idx="19">
                  <c:v>755721232.34700036</c:v>
                </c:pt>
                <c:pt idx="20">
                  <c:v>768981874.80000019</c:v>
                </c:pt>
                <c:pt idx="21">
                  <c:v>782279801.15700006</c:v>
                </c:pt>
                <c:pt idx="22">
                  <c:v>795615011.41800034</c:v>
                </c:pt>
                <c:pt idx="23">
                  <c:v>808987505.5830003</c:v>
                </c:pt>
                <c:pt idx="24">
                  <c:v>822397283.65200007</c:v>
                </c:pt>
                <c:pt idx="25">
                  <c:v>835844345.62500036</c:v>
                </c:pt>
                <c:pt idx="26">
                  <c:v>849328691.50200033</c:v>
                </c:pt>
                <c:pt idx="27">
                  <c:v>862850321.28300023</c:v>
                </c:pt>
                <c:pt idx="28">
                  <c:v>876409234.96800065</c:v>
                </c:pt>
                <c:pt idx="29">
                  <c:v>890005432.5570004</c:v>
                </c:pt>
                <c:pt idx="30">
                  <c:v>903638914.05000019</c:v>
                </c:pt>
                <c:pt idx="31">
                  <c:v>917309679.44700074</c:v>
                </c:pt>
                <c:pt idx="32">
                  <c:v>931017728.7480005</c:v>
                </c:pt>
                <c:pt idx="33">
                  <c:v>944763061.95300078</c:v>
                </c:pt>
                <c:pt idx="34">
                  <c:v>958545679.06200075</c:v>
                </c:pt>
                <c:pt idx="35">
                  <c:v>972365580.07500052</c:v>
                </c:pt>
                <c:pt idx="36">
                  <c:v>986222764.99200094</c:v>
                </c:pt>
                <c:pt idx="37">
                  <c:v>904947361.9380008</c:v>
                </c:pt>
                <c:pt idx="38">
                  <c:v>789346317.78800035</c:v>
                </c:pt>
                <c:pt idx="39">
                  <c:v>800675720.04200077</c:v>
                </c:pt>
                <c:pt idx="40">
                  <c:v>812042406.20000052</c:v>
                </c:pt>
                <c:pt idx="41">
                  <c:v>823446376.26200032</c:v>
                </c:pt>
                <c:pt idx="42">
                  <c:v>834887630.22800076</c:v>
                </c:pt>
                <c:pt idx="43">
                  <c:v>846366168.09800053</c:v>
                </c:pt>
                <c:pt idx="44">
                  <c:v>857881989.87200046</c:v>
                </c:pt>
                <c:pt idx="45">
                  <c:v>869435095.55000091</c:v>
                </c:pt>
                <c:pt idx="46">
                  <c:v>881025485.13200057</c:v>
                </c:pt>
                <c:pt idx="47">
                  <c:v>892653158.61800039</c:v>
                </c:pt>
                <c:pt idx="48">
                  <c:v>904318116.00800085</c:v>
                </c:pt>
                <c:pt idx="49">
                  <c:v>916020357.30200052</c:v>
                </c:pt>
                <c:pt idx="50">
                  <c:v>927759882.50000107</c:v>
                </c:pt>
                <c:pt idx="51">
                  <c:v>939536691.60200095</c:v>
                </c:pt>
                <c:pt idx="52">
                  <c:v>951350784.60800064</c:v>
                </c:pt>
                <c:pt idx="53">
                  <c:v>963202161.51800108</c:v>
                </c:pt>
                <c:pt idx="54">
                  <c:v>975090822.33200085</c:v>
                </c:pt>
                <c:pt idx="55">
                  <c:v>987016767.05000067</c:v>
                </c:pt>
                <c:pt idx="56">
                  <c:v>998979995.67200112</c:v>
                </c:pt>
                <c:pt idx="57">
                  <c:v>1010980508.1980009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'Annual Cost &amp; Revenue 20 MGD US'!$A$122</c:f>
              <c:strCache>
                <c:ptCount val="1"/>
                <c:pt idx="0">
                  <c:v>Annual Profit/Loss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US'!$C$122:$BH$122</c:f>
              <c:numCache>
                <c:formatCode>"$"#,##0.00_);[Red]\("$"#,##0.00\)</c:formatCode>
                <c:ptCount val="58"/>
                <c:pt idx="0">
                  <c:v>-4541630.0471508726</c:v>
                </c:pt>
                <c:pt idx="1">
                  <c:v>-9495461.8582808711</c:v>
                </c:pt>
                <c:pt idx="2">
                  <c:v>150927547.82178581</c:v>
                </c:pt>
                <c:pt idx="3">
                  <c:v>146893119.51607123</c:v>
                </c:pt>
                <c:pt idx="4">
                  <c:v>317010763.06013459</c:v>
                </c:pt>
                <c:pt idx="5">
                  <c:v>389769857.42428607</c:v>
                </c:pt>
                <c:pt idx="6">
                  <c:v>378676883.60872054</c:v>
                </c:pt>
                <c:pt idx="7">
                  <c:v>364598733.0409885</c:v>
                </c:pt>
                <c:pt idx="8">
                  <c:v>349392832.90352452</c:v>
                </c:pt>
                <c:pt idx="9">
                  <c:v>333067947.89570469</c:v>
                </c:pt>
                <c:pt idx="10">
                  <c:v>341222961.92783695</c:v>
                </c:pt>
                <c:pt idx="11">
                  <c:v>349206928.82071853</c:v>
                </c:pt>
                <c:pt idx="12">
                  <c:v>357024963.14702731</c:v>
                </c:pt>
                <c:pt idx="13">
                  <c:v>364683461.90825695</c:v>
                </c:pt>
                <c:pt idx="14">
                  <c:v>372194918.5537827</c:v>
                </c:pt>
                <c:pt idx="15">
                  <c:v>379561820.24289703</c:v>
                </c:pt>
                <c:pt idx="16">
                  <c:v>386792099.71369606</c:v>
                </c:pt>
                <c:pt idx="17">
                  <c:v>393880721.80718094</c:v>
                </c:pt>
                <c:pt idx="18">
                  <c:v>400839779.03262097</c:v>
                </c:pt>
                <c:pt idx="19">
                  <c:v>407665918.41600418</c:v>
                </c:pt>
                <c:pt idx="20">
                  <c:v>414364121.38941765</c:v>
                </c:pt>
                <c:pt idx="21">
                  <c:v>420929957.49537206</c:v>
                </c:pt>
                <c:pt idx="22">
                  <c:v>427371733.164689</c:v>
                </c:pt>
                <c:pt idx="23">
                  <c:v>433687356.73688173</c:v>
                </c:pt>
                <c:pt idx="24">
                  <c:v>439936354.46590859</c:v>
                </c:pt>
                <c:pt idx="25">
                  <c:v>446038563.94483316</c:v>
                </c:pt>
                <c:pt idx="26">
                  <c:v>452003816.80199295</c:v>
                </c:pt>
                <c:pt idx="27">
                  <c:v>457805322.56699657</c:v>
                </c:pt>
                <c:pt idx="28">
                  <c:v>463389017.0231986</c:v>
                </c:pt>
                <c:pt idx="29">
                  <c:v>468836892.12804031</c:v>
                </c:pt>
                <c:pt idx="30">
                  <c:v>474145243.61518425</c:v>
                </c:pt>
                <c:pt idx="31">
                  <c:v>479313832.45673263</c:v>
                </c:pt>
                <c:pt idx="32">
                  <c:v>484339810.05068767</c:v>
                </c:pt>
                <c:pt idx="33">
                  <c:v>489220304.53780311</c:v>
                </c:pt>
                <c:pt idx="34">
                  <c:v>493953481.68457222</c:v>
                </c:pt>
                <c:pt idx="35">
                  <c:v>498536439.13800222</c:v>
                </c:pt>
                <c:pt idx="36">
                  <c:v>544790502.386994</c:v>
                </c:pt>
                <c:pt idx="37">
                  <c:v>524949447.71344846</c:v>
                </c:pt>
                <c:pt idx="38">
                  <c:v>482776629.97297239</c:v>
                </c:pt>
                <c:pt idx="39">
                  <c:v>487990832.70716286</c:v>
                </c:pt>
                <c:pt idx="40">
                  <c:v>493117105.95309949</c:v>
                </c:pt>
                <c:pt idx="41">
                  <c:v>498153270.31670135</c:v>
                </c:pt>
                <c:pt idx="42">
                  <c:v>503097061.87151635</c:v>
                </c:pt>
                <c:pt idx="43">
                  <c:v>507946135.47175783</c:v>
                </c:pt>
                <c:pt idx="44">
                  <c:v>512698067.50453824</c:v>
                </c:pt>
                <c:pt idx="45">
                  <c:v>517350358.16110247</c:v>
                </c:pt>
                <c:pt idx="46">
                  <c:v>521900726.88929218</c:v>
                </c:pt>
                <c:pt idx="47">
                  <c:v>526346237.91276765</c:v>
                </c:pt>
                <c:pt idx="48">
                  <c:v>530684173.09319788</c:v>
                </c:pt>
                <c:pt idx="49">
                  <c:v>534912058.33472574</c:v>
                </c:pt>
                <c:pt idx="50">
                  <c:v>539026372.1786114</c:v>
                </c:pt>
                <c:pt idx="51">
                  <c:v>543024535.92261577</c:v>
                </c:pt>
                <c:pt idx="52">
                  <c:v>546903893.09354711</c:v>
                </c:pt>
                <c:pt idx="53">
                  <c:v>550662561.66436064</c:v>
                </c:pt>
                <c:pt idx="54">
                  <c:v>554296095.7320857</c:v>
                </c:pt>
                <c:pt idx="55">
                  <c:v>557801295.98179412</c:v>
                </c:pt>
                <c:pt idx="56">
                  <c:v>561174892.64558995</c:v>
                </c:pt>
                <c:pt idx="57">
                  <c:v>564413544.88351464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'Annual Cost &amp; Revenue 20 MGD US'!$A$121</c:f>
              <c:strCache>
                <c:ptCount val="1"/>
                <c:pt idx="0">
                  <c:v>Annual Loan Repayment (monthly installments)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US'!$C$121:$BH$121</c:f>
              <c:numCache>
                <c:formatCode>"$"#,##0.00</c:formatCode>
                <c:ptCount val="58"/>
                <c:pt idx="0">
                  <c:v>2123046.847150872</c:v>
                </c:pt>
                <c:pt idx="1">
                  <c:v>7028506.994280871</c:v>
                </c:pt>
                <c:pt idx="2">
                  <c:v>6160953.694453313</c:v>
                </c:pt>
                <c:pt idx="3">
                  <c:v>15114660.56280406</c:v>
                </c:pt>
                <c:pt idx="4">
                  <c:v>13249004.932425654</c:v>
                </c:pt>
                <c:pt idx="5">
                  <c:v>11613633.727999114</c:v>
                </c:pt>
                <c:pt idx="6">
                  <c:v>10180122.134155259</c:v>
                </c:pt>
                <c:pt idx="7">
                  <c:v>8923553.9103033878</c:v>
                </c:pt>
                <c:pt idx="8">
                  <c:v>7822088.3149255598</c:v>
                </c:pt>
                <c:pt idx="9">
                  <c:v>6856580.4859260144</c:v>
                </c:pt>
                <c:pt idx="10">
                  <c:v>6010248.6787671614</c:v>
                </c:pt>
                <c:pt idx="11">
                  <c:v>5268382.5785709899</c:v>
                </c:pt>
                <c:pt idx="12">
                  <c:v>4618087.6162820701</c:v>
                </c:pt>
                <c:pt idx="13">
                  <c:v>4048060.844784461</c:v>
                </c:pt>
                <c:pt idx="14">
                  <c:v>3548394.4794165175</c:v>
                </c:pt>
                <c:pt idx="15">
                  <c:v>3110403.6881698682</c:v>
                </c:pt>
                <c:pt idx="16">
                  <c:v>2726475.6383488593</c:v>
                </c:pt>
                <c:pt idx="17">
                  <c:v>2389937.1759309224</c:v>
                </c:pt>
                <c:pt idx="18">
                  <c:v>2094938.8377281488</c:v>
                </c:pt>
                <c:pt idx="19">
                  <c:v>1836353.1803350709</c:v>
                </c:pt>
                <c:pt idx="20">
                  <c:v>1609685.6586914472</c:v>
                </c:pt>
                <c:pt idx="21">
                  <c:v>1410996.505217005</c:v>
                </c:pt>
                <c:pt idx="22">
                  <c:v>1236832.2516789164</c:v>
                </c:pt>
                <c:pt idx="23">
                  <c:v>1084165.7035556361</c:v>
                </c:pt>
                <c:pt idx="24">
                  <c:v>950343.32357580448</c:v>
                </c:pt>
                <c:pt idx="25">
                  <c:v>833039.10989170976</c:v>
                </c:pt>
                <c:pt idx="26">
                  <c:v>730214.16723176313</c:v>
                </c:pt>
                <c:pt idx="27">
                  <c:v>640081.26832759613</c:v>
                </c:pt>
                <c:pt idx="28">
                  <c:v>561073.78964865778</c:v>
                </c:pt>
                <c:pt idx="29">
                  <c:v>491818.48150817706</c:v>
                </c:pt>
                <c:pt idx="30">
                  <c:v>431111.59925056691</c:v>
                </c:pt>
                <c:pt idx="31">
                  <c:v>377897.980650187</c:v>
                </c:pt>
                <c:pt idx="32">
                  <c:v>331252.70586024784</c:v>
                </c:pt>
                <c:pt idx="33">
                  <c:v>290365.02113862667</c:v>
                </c:pt>
                <c:pt idx="34">
                  <c:v>254524.24692465886</c:v>
                </c:pt>
                <c:pt idx="35">
                  <c:v>223107.42533149707</c:v>
                </c:pt>
                <c:pt idx="36">
                  <c:v>195568.49235186575</c:v>
                </c:pt>
                <c:pt idx="37">
                  <c:v>171428.78657648276</c:v>
                </c:pt>
                <c:pt idx="38">
                  <c:v>150268.72945469589</c:v>
                </c:pt>
                <c:pt idx="39">
                  <c:v>131720.532489765</c:v>
                </c:pt>
                <c:pt idx="40">
                  <c:v>115461.80461064009</c:v>
                </c:pt>
                <c:pt idx="41">
                  <c:v>101209.94860828943</c:v>
                </c:pt>
                <c:pt idx="42">
                  <c:v>88717.249239569093</c:v>
                </c:pt>
                <c:pt idx="43">
                  <c:v>77766.56762368104</c:v>
                </c:pt>
                <c:pt idx="44">
                  <c:v>68167.567094395767</c:v>
                </c:pt>
                <c:pt idx="45">
                  <c:v>59753.404908588564</c:v>
                </c:pt>
                <c:pt idx="46">
                  <c:v>52377.832308808829</c:v>
                </c:pt>
                <c:pt idx="47">
                  <c:v>45912.652535309739</c:v>
                </c:pt>
                <c:pt idx="48">
                  <c:v>40245.492604579747</c:v>
                </c:pt>
                <c:pt idx="49">
                  <c:v>35277.850125074583</c:v>
                </c:pt>
                <c:pt idx="50">
                  <c:v>30923.381201342385</c:v>
                </c:pt>
                <c:pt idx="51">
                  <c:v>27106.399668154769</c:v>
                </c:pt>
                <c:pt idx="52">
                  <c:v>23760.561569439415</c:v>
                </c:pt>
                <c:pt idx="53">
                  <c:v>20827.712016597485</c:v>
                </c:pt>
                <c:pt idx="54">
                  <c:v>18256.874383148417</c:v>
                </c:pt>
                <c:pt idx="55">
                  <c:v>16003.364266629258</c:v>
                </c:pt>
                <c:pt idx="56">
                  <c:v>14028.012817288178</c:v>
                </c:pt>
                <c:pt idx="57">
                  <c:v>12296.485934044769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'Annual Cost &amp; Revenue 20 MGD US'!$A$118</c:f>
              <c:strCache>
                <c:ptCount val="1"/>
                <c:pt idx="0">
                  <c:v>Cumulative Private Debt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US'!$C$118:$BH$118</c:f>
              <c:numCache>
                <c:formatCode>[$$-409]#,##0.00;[Red]\-[$$-409]#,##0.00</c:formatCode>
                <c:ptCount val="58"/>
                <c:pt idx="0">
                  <c:v>17199922.606889792</c:v>
                </c:pt>
                <c:pt idx="1">
                  <c:v>56941643.330126517</c:v>
                </c:pt>
                <c:pt idx="2">
                  <c:v>49913136.335845649</c:v>
                </c:pt>
                <c:pt idx="3">
                  <c:v>122451839.56186371</c:v>
                </c:pt>
                <c:pt idx="4">
                  <c:v>107337178.99905965</c:v>
                </c:pt>
                <c:pt idx="5">
                  <c:v>94088174.066633999</c:v>
                </c:pt>
                <c:pt idx="6">
                  <c:v>82474540.338634878</c:v>
                </c:pt>
                <c:pt idx="7">
                  <c:v>72294418.20447962</c:v>
                </c:pt>
                <c:pt idx="8">
                  <c:v>63370864.294176236</c:v>
                </c:pt>
                <c:pt idx="9">
                  <c:v>55548775.979250677</c:v>
                </c:pt>
                <c:pt idx="10">
                  <c:v>48692195.49332466</c:v>
                </c:pt>
                <c:pt idx="11">
                  <c:v>42681946.8145575</c:v>
                </c:pt>
                <c:pt idx="12">
                  <c:v>37413564.235986508</c:v>
                </c:pt>
                <c:pt idx="13">
                  <c:v>32795476.61970444</c:v>
                </c:pt>
                <c:pt idx="14">
                  <c:v>28747415.774919979</c:v>
                </c:pt>
                <c:pt idx="15">
                  <c:v>25199021.29550346</c:v>
                </c:pt>
                <c:pt idx="16">
                  <c:v>22088617.607333593</c:v>
                </c:pt>
                <c:pt idx="17">
                  <c:v>19362141.968984734</c:v>
                </c:pt>
                <c:pt idx="18">
                  <c:v>16972204.793053813</c:v>
                </c:pt>
                <c:pt idx="19">
                  <c:v>14877265.955325665</c:v>
                </c:pt>
                <c:pt idx="20">
                  <c:v>13040912.774990594</c:v>
                </c:pt>
                <c:pt idx="21">
                  <c:v>11431227.116299147</c:v>
                </c:pt>
                <c:pt idx="22">
                  <c:v>10020230.611082142</c:v>
                </c:pt>
                <c:pt idx="23">
                  <c:v>8783398.3594032265</c:v>
                </c:pt>
                <c:pt idx="24">
                  <c:v>7699232.6558475904</c:v>
                </c:pt>
                <c:pt idx="25">
                  <c:v>6748889.3322717864</c:v>
                </c:pt>
                <c:pt idx="26">
                  <c:v>5915850.2223800765</c:v>
                </c:pt>
                <c:pt idx="27">
                  <c:v>5185636.0551483138</c:v>
                </c:pt>
                <c:pt idx="28">
                  <c:v>4545554.7868207172</c:v>
                </c:pt>
                <c:pt idx="29">
                  <c:v>3984480.9971720595</c:v>
                </c:pt>
                <c:pt idx="30">
                  <c:v>3492662.5156638823</c:v>
                </c:pt>
                <c:pt idx="31">
                  <c:v>3061550.9164133156</c:v>
                </c:pt>
                <c:pt idx="32">
                  <c:v>2683652.9357631286</c:v>
                </c:pt>
                <c:pt idx="33">
                  <c:v>2352400.2299028807</c:v>
                </c:pt>
                <c:pt idx="34">
                  <c:v>2062035.2087642541</c:v>
                </c:pt>
                <c:pt idx="35">
                  <c:v>1807510.9618395953</c:v>
                </c:pt>
                <c:pt idx="36">
                  <c:v>1584403.5365080982</c:v>
                </c:pt>
                <c:pt idx="37">
                  <c:v>1388835.0441562324</c:v>
                </c:pt>
                <c:pt idx="38">
                  <c:v>1217406.2575797497</c:v>
                </c:pt>
                <c:pt idx="39">
                  <c:v>1067137.5281250537</c:v>
                </c:pt>
                <c:pt idx="40">
                  <c:v>935416.99563528877</c:v>
                </c:pt>
                <c:pt idx="41">
                  <c:v>819955.19102464872</c:v>
                </c:pt>
                <c:pt idx="42">
                  <c:v>718745.24241635925</c:v>
                </c:pt>
                <c:pt idx="43">
                  <c:v>630027.99317679019</c:v>
                </c:pt>
                <c:pt idx="44">
                  <c:v>552261.42555310915</c:v>
                </c:pt>
                <c:pt idx="45">
                  <c:v>484093.8584587134</c:v>
                </c:pt>
                <c:pt idx="46">
                  <c:v>424340.45355012483</c:v>
                </c:pt>
                <c:pt idx="47">
                  <c:v>371962.62124131602</c:v>
                </c:pt>
                <c:pt idx="48">
                  <c:v>326049.9687060063</c:v>
                </c:pt>
                <c:pt idx="49">
                  <c:v>285804.47610142652</c:v>
                </c:pt>
                <c:pt idx="50">
                  <c:v>250526.62597635193</c:v>
                </c:pt>
                <c:pt idx="51">
                  <c:v>219603.24477500955</c:v>
                </c:pt>
                <c:pt idx="52">
                  <c:v>192496.84510685477</c:v>
                </c:pt>
                <c:pt idx="53">
                  <c:v>168736.28353741535</c:v>
                </c:pt>
                <c:pt idx="54">
                  <c:v>147908.57152081787</c:v>
                </c:pt>
                <c:pt idx="55">
                  <c:v>129651.69713766946</c:v>
                </c:pt>
                <c:pt idx="56">
                  <c:v>113648.3328710402</c:v>
                </c:pt>
                <c:pt idx="57">
                  <c:v>99620.320053752017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30416"/>
        <c:axId val="175330976"/>
      </c:scatterChart>
      <c:valAx>
        <c:axId val="175330416"/>
        <c:scaling>
          <c:orientation val="minMax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30976"/>
        <c:crosses val="autoZero"/>
        <c:crossBetween val="midCat"/>
      </c:valAx>
      <c:valAx>
        <c:axId val="17533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;[Red][$$-409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30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82290962530944"/>
          <c:y val="0.83860481681843557"/>
          <c:w val="0.67887738175710743"/>
          <c:h val="0.14672525653119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Removed from Salton Sea Ecosystem Annually </a:t>
            </a:r>
            <a:endParaRPr lang="en-US"/>
          </a:p>
        </c:rich>
      </c:tx>
      <c:layout>
        <c:manualLayout>
          <c:xMode val="edge"/>
          <c:yMode val="edge"/>
          <c:x val="0.26166323831913019"/>
          <c:y val="2.1715526601520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17090293187338E-2"/>
          <c:y val="3.181341745962536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 US'!$A$83</c:f>
              <c:strCache>
                <c:ptCount val="1"/>
                <c:pt idx="0">
                  <c:v>All salts removed from Salton Sea system (metric tonnes per year)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US'!$C$83:$BH$83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1655749.9611137714</c:v>
                </c:pt>
                <c:pt idx="3">
                  <c:v>1667511.6079571892</c:v>
                </c:pt>
                <c:pt idx="4">
                  <c:v>3327902.3658930426</c:v>
                </c:pt>
                <c:pt idx="5">
                  <c:v>4399655.8732105587</c:v>
                </c:pt>
                <c:pt idx="6">
                  <c:v>4941128.8412725097</c:v>
                </c:pt>
                <c:pt idx="7">
                  <c:v>5464168.4759348948</c:v>
                </c:pt>
                <c:pt idx="8">
                  <c:v>5954331.4996218346</c:v>
                </c:pt>
                <c:pt idx="9">
                  <c:v>6395647.0522603849</c:v>
                </c:pt>
                <c:pt idx="10">
                  <c:v>6291263.9043384641</c:v>
                </c:pt>
                <c:pt idx="11">
                  <c:v>6183656.9157140646</c:v>
                </c:pt>
                <c:pt idx="12">
                  <c:v>6077883.0351612922</c:v>
                </c:pt>
                <c:pt idx="13">
                  <c:v>5976078.0268508103</c:v>
                </c:pt>
                <c:pt idx="14">
                  <c:v>5874285.2732640337</c:v>
                </c:pt>
                <c:pt idx="15">
                  <c:v>5775570.3477374502</c:v>
                </c:pt>
                <c:pt idx="16">
                  <c:v>5677861.3443167526</c:v>
                </c:pt>
                <c:pt idx="17">
                  <c:v>5587767.1795218708</c:v>
                </c:pt>
                <c:pt idx="18">
                  <c:v>5498803.8452629</c:v>
                </c:pt>
                <c:pt idx="19">
                  <c:v>5414957.7528647603</c:v>
                </c:pt>
                <c:pt idx="20">
                  <c:v>5333943.5416701958</c:v>
                </c:pt>
                <c:pt idx="21">
                  <c:v>5259218.1406658497</c:v>
                </c:pt>
                <c:pt idx="22">
                  <c:v>5185791.1373010967</c:v>
                </c:pt>
                <c:pt idx="23">
                  <c:v>5115058.6027703034</c:v>
                </c:pt>
                <c:pt idx="24">
                  <c:v>5012958.4168003444</c:v>
                </c:pt>
                <c:pt idx="25">
                  <c:v>4926393.0895242123</c:v>
                </c:pt>
                <c:pt idx="26">
                  <c:v>4848390.8661444718</c:v>
                </c:pt>
                <c:pt idx="27">
                  <c:v>4781469.6629783986</c:v>
                </c:pt>
                <c:pt idx="28">
                  <c:v>4721726.3437398514</c:v>
                </c:pt>
                <c:pt idx="29">
                  <c:v>4667537.9667716278</c:v>
                </c:pt>
                <c:pt idx="30">
                  <c:v>4621267.4729121197</c:v>
                </c:pt>
                <c:pt idx="31">
                  <c:v>4579195.0517868623</c:v>
                </c:pt>
                <c:pt idx="32">
                  <c:v>4541694.5743490458</c:v>
                </c:pt>
                <c:pt idx="33">
                  <c:v>4508854.7312847339</c:v>
                </c:pt>
                <c:pt idx="34">
                  <c:v>4478982.4615607299</c:v>
                </c:pt>
                <c:pt idx="35">
                  <c:v>4451842.2515990455</c:v>
                </c:pt>
                <c:pt idx="36">
                  <c:v>4262600.16354887</c:v>
                </c:pt>
                <c:pt idx="37">
                  <c:v>3830134.7388988137</c:v>
                </c:pt>
                <c:pt idx="38">
                  <c:v>3323645.5786631512</c:v>
                </c:pt>
                <c:pt idx="39">
                  <c:v>3329880.5903373142</c:v>
                </c:pt>
                <c:pt idx="40">
                  <c:v>3336296.8657456241</c:v>
                </c:pt>
                <c:pt idx="41">
                  <c:v>3342889.0251428992</c:v>
                </c:pt>
                <c:pt idx="42">
                  <c:v>3349652.2773906174</c:v>
                </c:pt>
                <c:pt idx="43">
                  <c:v>3356582.37897225</c:v>
                </c:pt>
                <c:pt idx="44">
                  <c:v>3363675.6065855585</c:v>
                </c:pt>
                <c:pt idx="45">
                  <c:v>3370928.724716044</c:v>
                </c:pt>
                <c:pt idx="46">
                  <c:v>3378005.2256948152</c:v>
                </c:pt>
                <c:pt idx="47">
                  <c:v>3385243.9065153003</c:v>
                </c:pt>
                <c:pt idx="48">
                  <c:v>3392641.9702055817</c:v>
                </c:pt>
                <c:pt idx="49">
                  <c:v>3399859.383111381</c:v>
                </c:pt>
                <c:pt idx="50">
                  <c:v>3407609.717762792</c:v>
                </c:pt>
                <c:pt idx="51">
                  <c:v>3415508.2561227302</c:v>
                </c:pt>
                <c:pt idx="52">
                  <c:v>3423207.1454128427</c:v>
                </c:pt>
                <c:pt idx="53">
                  <c:v>3429547.9454128444</c:v>
                </c:pt>
                <c:pt idx="54">
                  <c:v>3435888.7454128433</c:v>
                </c:pt>
                <c:pt idx="55">
                  <c:v>3442229.5454128422</c:v>
                </c:pt>
                <c:pt idx="56">
                  <c:v>3448570.3454128439</c:v>
                </c:pt>
                <c:pt idx="57">
                  <c:v>3454911.1454128437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21840"/>
        <c:axId val="177222400"/>
      </c:scatterChart>
      <c:valAx>
        <c:axId val="17722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22400"/>
        <c:crosses val="autoZero"/>
        <c:crossBetween val="midCat"/>
      </c:valAx>
      <c:valAx>
        <c:axId val="17722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21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01412833974657"/>
          <c:y val="0.7095543187394735"/>
          <c:w val="0.42967367838937853"/>
          <c:h val="7.329041524532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Salt Produced in U.S. Annually </a:t>
            </a:r>
          </a:p>
        </c:rich>
      </c:tx>
      <c:layout>
        <c:manualLayout>
          <c:xMode val="edge"/>
          <c:yMode val="edge"/>
          <c:x val="0.32766086431379443"/>
          <c:y val="2.60586319218241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 US'!$A$78</c:f>
              <c:strCache>
                <c:ptCount val="1"/>
                <c:pt idx="0">
                  <c:v>Solar Salt sold into market (metric tonnes per year)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US'!$C$78:$BH$78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1362321.600000001</c:v>
                </c:pt>
                <c:pt idx="3">
                  <c:v>1368662.4000000001</c:v>
                </c:pt>
                <c:pt idx="4">
                  <c:v>1375003.1999999993</c:v>
                </c:pt>
                <c:pt idx="5">
                  <c:v>1381344.0000000009</c:v>
                </c:pt>
                <c:pt idx="6">
                  <c:v>1387684.8</c:v>
                </c:pt>
                <c:pt idx="7">
                  <c:v>1394025.5999999992</c:v>
                </c:pt>
                <c:pt idx="8">
                  <c:v>1400366.4000000008</c:v>
                </c:pt>
                <c:pt idx="9">
                  <c:v>1406707.2</c:v>
                </c:pt>
                <c:pt idx="10">
                  <c:v>1413047.9999999991</c:v>
                </c:pt>
                <c:pt idx="11">
                  <c:v>1419388.8000000007</c:v>
                </c:pt>
                <c:pt idx="12">
                  <c:v>1425729.5999999996</c:v>
                </c:pt>
                <c:pt idx="13">
                  <c:v>1432070.3999999987</c:v>
                </c:pt>
                <c:pt idx="14">
                  <c:v>1438411.2000000007</c:v>
                </c:pt>
                <c:pt idx="15">
                  <c:v>1444751.9999999995</c:v>
                </c:pt>
                <c:pt idx="16">
                  <c:v>1451092.8000000012</c:v>
                </c:pt>
                <c:pt idx="17">
                  <c:v>1457433.6000000003</c:v>
                </c:pt>
                <c:pt idx="18">
                  <c:v>1463774.3999999992</c:v>
                </c:pt>
                <c:pt idx="19">
                  <c:v>1470115.2000000011</c:v>
                </c:pt>
                <c:pt idx="20">
                  <c:v>1476456.0000000002</c:v>
                </c:pt>
                <c:pt idx="21">
                  <c:v>1482796.7999999991</c:v>
                </c:pt>
                <c:pt idx="22">
                  <c:v>1489137.600000001</c:v>
                </c:pt>
                <c:pt idx="23">
                  <c:v>1495478.4000000001</c:v>
                </c:pt>
                <c:pt idx="24">
                  <c:v>1501819.199999999</c:v>
                </c:pt>
                <c:pt idx="25">
                  <c:v>1508160.0000000007</c:v>
                </c:pt>
                <c:pt idx="26">
                  <c:v>1514500.7999999998</c:v>
                </c:pt>
                <c:pt idx="27">
                  <c:v>1520841.5999999987</c:v>
                </c:pt>
                <c:pt idx="28">
                  <c:v>1527182.4000000006</c:v>
                </c:pt>
                <c:pt idx="29">
                  <c:v>1533523.1999999997</c:v>
                </c:pt>
                <c:pt idx="30">
                  <c:v>1539863.9999999988</c:v>
                </c:pt>
                <c:pt idx="31">
                  <c:v>1546204.8000000003</c:v>
                </c:pt>
                <c:pt idx="32">
                  <c:v>1552545.5999999994</c:v>
                </c:pt>
                <c:pt idx="33">
                  <c:v>1558886.4000000013</c:v>
                </c:pt>
                <c:pt idx="34">
                  <c:v>1565227.2000000002</c:v>
                </c:pt>
                <c:pt idx="35">
                  <c:v>1571567.9999999993</c:v>
                </c:pt>
                <c:pt idx="36">
                  <c:v>1577908.8000000012</c:v>
                </c:pt>
                <c:pt idx="37">
                  <c:v>1584249.6000000003</c:v>
                </c:pt>
                <c:pt idx="38">
                  <c:v>1590590.3999999992</c:v>
                </c:pt>
                <c:pt idx="39">
                  <c:v>1596931.2000000009</c:v>
                </c:pt>
                <c:pt idx="40">
                  <c:v>1603272</c:v>
                </c:pt>
                <c:pt idx="41">
                  <c:v>1609612.7999999989</c:v>
                </c:pt>
                <c:pt idx="42">
                  <c:v>1615953.6000000008</c:v>
                </c:pt>
                <c:pt idx="43">
                  <c:v>1622294.3999999997</c:v>
                </c:pt>
                <c:pt idx="44">
                  <c:v>1628635.199999999</c:v>
                </c:pt>
                <c:pt idx="45">
                  <c:v>1634976.0000000007</c:v>
                </c:pt>
                <c:pt idx="46">
                  <c:v>1641316.7999999996</c:v>
                </c:pt>
                <c:pt idx="47">
                  <c:v>1647657.5999999987</c:v>
                </c:pt>
                <c:pt idx="48">
                  <c:v>1653998.4000000004</c:v>
                </c:pt>
                <c:pt idx="49">
                  <c:v>1660339.1999999993</c:v>
                </c:pt>
                <c:pt idx="50">
                  <c:v>1666680.0000000012</c:v>
                </c:pt>
                <c:pt idx="51">
                  <c:v>1673020.8000000003</c:v>
                </c:pt>
                <c:pt idx="52">
                  <c:v>1679361.5999999994</c:v>
                </c:pt>
                <c:pt idx="53">
                  <c:v>1685702.4000000011</c:v>
                </c:pt>
                <c:pt idx="54">
                  <c:v>1692043.2</c:v>
                </c:pt>
                <c:pt idx="55">
                  <c:v>1698383.9999999991</c:v>
                </c:pt>
                <c:pt idx="56">
                  <c:v>1704724.8000000007</c:v>
                </c:pt>
                <c:pt idx="57">
                  <c:v>1711065.6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 US'!$A$80</c:f>
              <c:strCache>
                <c:ptCount val="1"/>
                <c:pt idx="0">
                  <c:v>Refined Salt sold into market (metric tonnes per year)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US'!$C$80:$BH$80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173375</c:v>
                </c:pt>
                <c:pt idx="3">
                  <c:v>173375</c:v>
                </c:pt>
                <c:pt idx="4">
                  <c:v>1300312.5</c:v>
                </c:pt>
                <c:pt idx="5">
                  <c:v>1820437.5</c:v>
                </c:pt>
                <c:pt idx="6">
                  <c:v>1820437.5</c:v>
                </c:pt>
                <c:pt idx="7">
                  <c:v>1820437.5</c:v>
                </c:pt>
                <c:pt idx="8">
                  <c:v>1820437.5</c:v>
                </c:pt>
                <c:pt idx="9">
                  <c:v>1820437.5</c:v>
                </c:pt>
                <c:pt idx="10">
                  <c:v>1820437.5</c:v>
                </c:pt>
                <c:pt idx="11">
                  <c:v>1820437.5</c:v>
                </c:pt>
                <c:pt idx="12">
                  <c:v>1820437.5</c:v>
                </c:pt>
                <c:pt idx="13">
                  <c:v>1820437.5</c:v>
                </c:pt>
                <c:pt idx="14">
                  <c:v>1820437.5</c:v>
                </c:pt>
                <c:pt idx="15">
                  <c:v>1820437.5</c:v>
                </c:pt>
                <c:pt idx="16">
                  <c:v>1820437.5</c:v>
                </c:pt>
                <c:pt idx="17">
                  <c:v>1820437.5</c:v>
                </c:pt>
                <c:pt idx="18">
                  <c:v>1820437.5</c:v>
                </c:pt>
                <c:pt idx="19">
                  <c:v>1820437.5</c:v>
                </c:pt>
                <c:pt idx="20">
                  <c:v>1820437.5</c:v>
                </c:pt>
                <c:pt idx="21">
                  <c:v>1820437.5</c:v>
                </c:pt>
                <c:pt idx="22">
                  <c:v>1820437.5</c:v>
                </c:pt>
                <c:pt idx="23">
                  <c:v>1820437.5</c:v>
                </c:pt>
                <c:pt idx="24">
                  <c:v>1820437.5</c:v>
                </c:pt>
                <c:pt idx="25">
                  <c:v>1820437.5</c:v>
                </c:pt>
                <c:pt idx="26">
                  <c:v>1820437.5</c:v>
                </c:pt>
                <c:pt idx="27">
                  <c:v>1820437.5</c:v>
                </c:pt>
                <c:pt idx="28">
                  <c:v>1820437.5</c:v>
                </c:pt>
                <c:pt idx="29">
                  <c:v>1820437.5</c:v>
                </c:pt>
                <c:pt idx="30">
                  <c:v>1820437.5</c:v>
                </c:pt>
                <c:pt idx="31">
                  <c:v>1820437.5</c:v>
                </c:pt>
                <c:pt idx="32">
                  <c:v>1820437.5</c:v>
                </c:pt>
                <c:pt idx="33">
                  <c:v>1820437.5</c:v>
                </c:pt>
                <c:pt idx="34">
                  <c:v>1820437.5</c:v>
                </c:pt>
                <c:pt idx="35">
                  <c:v>1820437.5</c:v>
                </c:pt>
                <c:pt idx="36">
                  <c:v>1820437.5</c:v>
                </c:pt>
                <c:pt idx="37">
                  <c:v>1560375</c:v>
                </c:pt>
                <c:pt idx="38">
                  <c:v>1213625</c:v>
                </c:pt>
                <c:pt idx="39">
                  <c:v>1213625</c:v>
                </c:pt>
                <c:pt idx="40">
                  <c:v>1213625</c:v>
                </c:pt>
                <c:pt idx="41">
                  <c:v>1213625</c:v>
                </c:pt>
                <c:pt idx="42">
                  <c:v>1213625</c:v>
                </c:pt>
                <c:pt idx="43">
                  <c:v>1213625</c:v>
                </c:pt>
                <c:pt idx="44">
                  <c:v>1213625</c:v>
                </c:pt>
                <c:pt idx="45">
                  <c:v>1213625</c:v>
                </c:pt>
                <c:pt idx="46">
                  <c:v>1213625</c:v>
                </c:pt>
                <c:pt idx="47">
                  <c:v>1213625</c:v>
                </c:pt>
                <c:pt idx="48">
                  <c:v>1213625</c:v>
                </c:pt>
                <c:pt idx="49">
                  <c:v>1213625</c:v>
                </c:pt>
                <c:pt idx="50">
                  <c:v>1213625</c:v>
                </c:pt>
                <c:pt idx="51">
                  <c:v>1213625</c:v>
                </c:pt>
                <c:pt idx="52">
                  <c:v>1213625</c:v>
                </c:pt>
                <c:pt idx="53">
                  <c:v>1213625</c:v>
                </c:pt>
                <c:pt idx="54">
                  <c:v>1213625</c:v>
                </c:pt>
                <c:pt idx="55">
                  <c:v>1213625</c:v>
                </c:pt>
                <c:pt idx="56">
                  <c:v>1213625</c:v>
                </c:pt>
                <c:pt idx="57">
                  <c:v>1213625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25200"/>
        <c:axId val="177225760"/>
      </c:scatterChart>
      <c:valAx>
        <c:axId val="17722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25760"/>
        <c:crosses val="autoZero"/>
        <c:crossBetween val="midCat"/>
      </c:valAx>
      <c:valAx>
        <c:axId val="1772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25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172224137572"/>
          <c:y val="0.69652500277856144"/>
          <c:w val="0.36851532112702784"/>
          <c:h val="0.15580941633110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Distilled Water Produced at Salton Sea Annually </a:t>
            </a:r>
            <a:endParaRPr lang="en-US"/>
          </a:p>
        </c:rich>
      </c:tx>
      <c:layout>
        <c:manualLayout>
          <c:xMode val="edge"/>
          <c:yMode val="edge"/>
          <c:x val="0.2683896793241720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49985538466521E-2"/>
          <c:y val="3.0331425963058965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 US'!$A$96</c:f>
              <c:strCache>
                <c:ptCount val="1"/>
                <c:pt idx="0">
                  <c:v>Acre-feet of distilled water supplied to habitat and recreation (AFY)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US'!$C$96:$BH$96</c:f>
              <c:numCache>
                <c:formatCode>#,##0;[Red]#,##0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5320.6444578769242</c:v>
                </c:pt>
                <c:pt idx="3">
                  <c:v>5320.6444578769242</c:v>
                </c:pt>
                <c:pt idx="4">
                  <c:v>26603.222289384619</c:v>
                </c:pt>
                <c:pt idx="5">
                  <c:v>47885.800120892316</c:v>
                </c:pt>
                <c:pt idx="6">
                  <c:v>69168.377952400013</c:v>
                </c:pt>
                <c:pt idx="7">
                  <c:v>90450.955783907717</c:v>
                </c:pt>
                <c:pt idx="8">
                  <c:v>111733.53361541541</c:v>
                </c:pt>
                <c:pt idx="9">
                  <c:v>133016.11144692311</c:v>
                </c:pt>
                <c:pt idx="10">
                  <c:v>133016.11144692311</c:v>
                </c:pt>
                <c:pt idx="11">
                  <c:v>133016.11144692311</c:v>
                </c:pt>
                <c:pt idx="12">
                  <c:v>133016.11144692311</c:v>
                </c:pt>
                <c:pt idx="13">
                  <c:v>133016.11144692311</c:v>
                </c:pt>
                <c:pt idx="14">
                  <c:v>133016.11144692311</c:v>
                </c:pt>
                <c:pt idx="15">
                  <c:v>133016.11144692311</c:v>
                </c:pt>
                <c:pt idx="16">
                  <c:v>133016.11144692311</c:v>
                </c:pt>
                <c:pt idx="17">
                  <c:v>133016.11144692311</c:v>
                </c:pt>
                <c:pt idx="18">
                  <c:v>133016.11144692311</c:v>
                </c:pt>
                <c:pt idx="19">
                  <c:v>133016.11144692311</c:v>
                </c:pt>
                <c:pt idx="20">
                  <c:v>133016.11144692311</c:v>
                </c:pt>
                <c:pt idx="21">
                  <c:v>133016.11144692311</c:v>
                </c:pt>
                <c:pt idx="22">
                  <c:v>133016.11144692311</c:v>
                </c:pt>
                <c:pt idx="23">
                  <c:v>133016.11144692311</c:v>
                </c:pt>
                <c:pt idx="24">
                  <c:v>133016.11144692311</c:v>
                </c:pt>
                <c:pt idx="25">
                  <c:v>133016.11144692311</c:v>
                </c:pt>
                <c:pt idx="26">
                  <c:v>133016.11144692311</c:v>
                </c:pt>
                <c:pt idx="27">
                  <c:v>133016.11144692311</c:v>
                </c:pt>
                <c:pt idx="28">
                  <c:v>133016.11144692311</c:v>
                </c:pt>
                <c:pt idx="29">
                  <c:v>133016.11144692311</c:v>
                </c:pt>
                <c:pt idx="30">
                  <c:v>133016.11144692311</c:v>
                </c:pt>
                <c:pt idx="31">
                  <c:v>133016.11144692311</c:v>
                </c:pt>
                <c:pt idx="32">
                  <c:v>133016.11144692311</c:v>
                </c:pt>
                <c:pt idx="33">
                  <c:v>133016.11144692311</c:v>
                </c:pt>
                <c:pt idx="34">
                  <c:v>133016.11144692311</c:v>
                </c:pt>
                <c:pt idx="35">
                  <c:v>133016.11144692311</c:v>
                </c:pt>
                <c:pt idx="36">
                  <c:v>111733.53361541541</c:v>
                </c:pt>
                <c:pt idx="37">
                  <c:v>90450.955783907717</c:v>
                </c:pt>
                <c:pt idx="38">
                  <c:v>69168.377952400013</c:v>
                </c:pt>
                <c:pt idx="39">
                  <c:v>69168.377952400013</c:v>
                </c:pt>
                <c:pt idx="40">
                  <c:v>69168.377952400013</c:v>
                </c:pt>
                <c:pt idx="41">
                  <c:v>69168.377952400013</c:v>
                </c:pt>
                <c:pt idx="42">
                  <c:v>69168.377952400013</c:v>
                </c:pt>
                <c:pt idx="43">
                  <c:v>69168.377952400013</c:v>
                </c:pt>
                <c:pt idx="44">
                  <c:v>69168.377952400013</c:v>
                </c:pt>
                <c:pt idx="45">
                  <c:v>69168.377952400013</c:v>
                </c:pt>
                <c:pt idx="46">
                  <c:v>69168.377952400013</c:v>
                </c:pt>
                <c:pt idx="47">
                  <c:v>69168.377952400013</c:v>
                </c:pt>
                <c:pt idx="48">
                  <c:v>69168.377952400013</c:v>
                </c:pt>
                <c:pt idx="49">
                  <c:v>69168.377952400013</c:v>
                </c:pt>
                <c:pt idx="50">
                  <c:v>69168.377952400013</c:v>
                </c:pt>
                <c:pt idx="51">
                  <c:v>69168.377952400013</c:v>
                </c:pt>
                <c:pt idx="52">
                  <c:v>69168.377952400013</c:v>
                </c:pt>
                <c:pt idx="53">
                  <c:v>69168.377952400013</c:v>
                </c:pt>
                <c:pt idx="54">
                  <c:v>69168.377952400013</c:v>
                </c:pt>
                <c:pt idx="55">
                  <c:v>69168.377952400013</c:v>
                </c:pt>
                <c:pt idx="56">
                  <c:v>69168.377952400013</c:v>
                </c:pt>
                <c:pt idx="57">
                  <c:v>69168.377952400013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 US'!$A$65</c:f>
              <c:strCache>
                <c:ptCount val="1"/>
                <c:pt idx="0">
                  <c:v>Acre-feet of Distilled Water Sold to Projects (AFY) zero, given away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US'!$C$65:$BH$65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68064"/>
        <c:axId val="177668624"/>
      </c:scatterChart>
      <c:valAx>
        <c:axId val="17766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68624"/>
        <c:crosses val="autoZero"/>
        <c:crossBetween val="midCat"/>
      </c:valAx>
      <c:valAx>
        <c:axId val="17766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68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83869489866512"/>
          <c:y val="0.615988653592214"/>
          <c:w val="0.44374306135623731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Produced Annually as Percentage of US Market </a:t>
            </a:r>
            <a:endParaRPr lang="en-US"/>
          </a:p>
        </c:rich>
      </c:tx>
      <c:layout>
        <c:manualLayout>
          <c:xMode val="edge"/>
          <c:yMode val="edge"/>
          <c:x val="0.3467704503437216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 US'!$A$79</c:f>
              <c:strCache>
                <c:ptCount val="1"/>
                <c:pt idx="0">
                  <c:v>Portion of Annual Domestic Solar Salt Consumption (2019 basis)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US'!$C$79:$BH$79</c:f>
              <c:numCache>
                <c:formatCode>0.0%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0.3</c:v>
                </c:pt>
                <c:pt idx="4">
                  <c:v>0.29999999999999993</c:v>
                </c:pt>
                <c:pt idx="5">
                  <c:v>0.30000000000000004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0.30000000000000004</c:v>
                </c:pt>
                <c:pt idx="10">
                  <c:v>0.30000000000000004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0.30000000000000004</c:v>
                </c:pt>
                <c:pt idx="15">
                  <c:v>0.30000000000000004</c:v>
                </c:pt>
                <c:pt idx="16">
                  <c:v>0.3</c:v>
                </c:pt>
                <c:pt idx="17">
                  <c:v>0.3</c:v>
                </c:pt>
                <c:pt idx="18">
                  <c:v>0.29999999999999993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0.30000000000000004</c:v>
                </c:pt>
                <c:pt idx="23">
                  <c:v>0.30000000000000004</c:v>
                </c:pt>
                <c:pt idx="24">
                  <c:v>0.30000000000000004</c:v>
                </c:pt>
                <c:pt idx="25">
                  <c:v>0.3</c:v>
                </c:pt>
                <c:pt idx="26">
                  <c:v>0.30000000000000004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0.30000000000000004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0.3</c:v>
                </c:pt>
                <c:pt idx="41">
                  <c:v>0.3</c:v>
                </c:pt>
                <c:pt idx="42">
                  <c:v>0.3</c:v>
                </c:pt>
                <c:pt idx="43">
                  <c:v>0.3</c:v>
                </c:pt>
                <c:pt idx="44">
                  <c:v>0.30000000000000004</c:v>
                </c:pt>
                <c:pt idx="45">
                  <c:v>0.3</c:v>
                </c:pt>
                <c:pt idx="46">
                  <c:v>0.3</c:v>
                </c:pt>
                <c:pt idx="47">
                  <c:v>0.30000000000000004</c:v>
                </c:pt>
                <c:pt idx="48">
                  <c:v>0.30000000000000004</c:v>
                </c:pt>
                <c:pt idx="49">
                  <c:v>0.3</c:v>
                </c:pt>
                <c:pt idx="50">
                  <c:v>0.3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0.30000000000000004</c:v>
                </c:pt>
                <c:pt idx="56">
                  <c:v>0.3</c:v>
                </c:pt>
                <c:pt idx="57">
                  <c:v>0.3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 US'!$A$81</c:f>
              <c:strCache>
                <c:ptCount val="1"/>
                <c:pt idx="0">
                  <c:v>Portion of Annual Domestic Refined Salt Consumption (2019 basis)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'Annual Cost &amp; Revenue 20 MGD US'!$C$1:$BH$1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 US'!$C$81:$BH$81</c:f>
              <c:numCache>
                <c:formatCode>0.0%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3.0543448771567571E-2</c:v>
                </c:pt>
                <c:pt idx="3">
                  <c:v>3.0401945724526366E-2</c:v>
                </c:pt>
                <c:pt idx="4">
                  <c:v>0.22696310815858475</c:v>
                </c:pt>
                <c:pt idx="5">
                  <c:v>0.31628978733754931</c:v>
                </c:pt>
                <c:pt idx="6">
                  <c:v>0.31484455259580563</c:v>
                </c:pt>
                <c:pt idx="7">
                  <c:v>0.31341246530910211</c:v>
                </c:pt>
                <c:pt idx="8">
                  <c:v>0.31199334688407243</c:v>
                </c:pt>
                <c:pt idx="9">
                  <c:v>0.31058702194742444</c:v>
                </c:pt>
                <c:pt idx="10">
                  <c:v>0.3091933182736894</c:v>
                </c:pt>
                <c:pt idx="11">
                  <c:v>0.30781206671491257</c:v>
                </c:pt>
                <c:pt idx="12">
                  <c:v>0.30644310113222034</c:v>
                </c:pt>
                <c:pt idx="13">
                  <c:v>0.30508625832919972</c:v>
                </c:pt>
                <c:pt idx="14">
                  <c:v>0.30374137798704559</c:v>
                </c:pt>
                <c:pt idx="15">
                  <c:v>0.30240830260141544</c:v>
                </c:pt>
                <c:pt idx="16">
                  <c:v>0.30108687742093382</c:v>
                </c:pt>
                <c:pt idx="17">
                  <c:v>0.29977695038731084</c:v>
                </c:pt>
                <c:pt idx="18">
                  <c:v>0.29847837207700872</c:v>
                </c:pt>
                <c:pt idx="19">
                  <c:v>0.29719099564442275</c:v>
                </c:pt>
                <c:pt idx="20">
                  <c:v>0.29591467676652738</c:v>
                </c:pt>
                <c:pt idx="21">
                  <c:v>0.294649273588937</c:v>
                </c:pt>
                <c:pt idx="22">
                  <c:v>0.29339464667334958</c:v>
                </c:pt>
                <c:pt idx="23">
                  <c:v>0.2921506589463278</c:v>
                </c:pt>
                <c:pt idx="24">
                  <c:v>0.29091717564937264</c:v>
                </c:pt>
                <c:pt idx="25">
                  <c:v>0.28969406429026079</c:v>
                </c:pt>
                <c:pt idx="26">
                  <c:v>0.28848119459560534</c:v>
                </c:pt>
                <c:pt idx="27">
                  <c:v>0.28727843846459772</c:v>
                </c:pt>
                <c:pt idx="28">
                  <c:v>0.28608566992390683</c:v>
                </c:pt>
                <c:pt idx="29">
                  <c:v>0.2849027650836975</c:v>
                </c:pt>
                <c:pt idx="30">
                  <c:v>0.28372960209473064</c:v>
                </c:pt>
                <c:pt idx="31">
                  <c:v>0.28256606110652344</c:v>
                </c:pt>
                <c:pt idx="32">
                  <c:v>0.28141202422653488</c:v>
                </c:pt>
                <c:pt idx="33">
                  <c:v>0.28026737548034264</c:v>
                </c:pt>
                <c:pt idx="34">
                  <c:v>0.2791320007727951</c:v>
                </c:pt>
                <c:pt idx="35">
                  <c:v>0.27800578785009633</c:v>
                </c:pt>
                <c:pt idx="36">
                  <c:v>0.27688862626281041</c:v>
                </c:pt>
                <c:pt idx="37">
                  <c:v>0.23638320628264634</c:v>
                </c:pt>
                <c:pt idx="38">
                  <c:v>0.1831206827351656</c:v>
                </c:pt>
                <c:pt idx="39">
                  <c:v>0.18239358088814336</c:v>
                </c:pt>
                <c:pt idx="40">
                  <c:v>0.18167223028905888</c:v>
                </c:pt>
                <c:pt idx="41">
                  <c:v>0.18095656296967827</c:v>
                </c:pt>
                <c:pt idx="42">
                  <c:v>0.18024651202856309</c:v>
                </c:pt>
                <c:pt idx="43">
                  <c:v>0.17954201161022318</c:v>
                </c:pt>
                <c:pt idx="44">
                  <c:v>0.17884299688475366</c:v>
                </c:pt>
                <c:pt idx="45">
                  <c:v>0.17814940402794893</c:v>
                </c:pt>
                <c:pt idx="46">
                  <c:v>0.17746117020187696</c:v>
                </c:pt>
                <c:pt idx="47">
                  <c:v>0.17677823353589983</c:v>
                </c:pt>
                <c:pt idx="48">
                  <c:v>0.17610053310813356</c:v>
                </c:pt>
                <c:pt idx="49">
                  <c:v>0.17542800892733251</c:v>
                </c:pt>
                <c:pt idx="50">
                  <c:v>0.17476060191518455</c:v>
                </c:pt>
                <c:pt idx="51">
                  <c:v>0.17409825388901318</c:v>
                </c:pt>
                <c:pt idx="52">
                  <c:v>0.17344090754486713</c:v>
                </c:pt>
                <c:pt idx="53">
                  <c:v>0.17278850644099444</c:v>
                </c:pt>
                <c:pt idx="54">
                  <c:v>0.17214099498168842</c:v>
                </c:pt>
                <c:pt idx="55">
                  <c:v>0.17149831840149232</c:v>
                </c:pt>
                <c:pt idx="56">
                  <c:v>0.17086042274975988</c:v>
                </c:pt>
                <c:pt idx="57">
                  <c:v>0.17022725487555826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71984"/>
        <c:axId val="177672544"/>
      </c:scatterChart>
      <c:valAx>
        <c:axId val="17767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72544"/>
        <c:crosses val="autoZero"/>
        <c:crossBetween val="midCat"/>
      </c:valAx>
      <c:valAx>
        <c:axId val="17767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71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15459263595581"/>
          <c:y val="0.6617801602161294"/>
          <c:w val="0.32267341692485324"/>
          <c:h val="0.19055425889353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69850</xdr:rowOff>
    </xdr:from>
    <xdr:to>
      <xdr:col>8</xdr:col>
      <xdr:colOff>889000</xdr:colOff>
      <xdr:row>34</xdr:row>
      <xdr:rowOff>82550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34</xdr:row>
      <xdr:rowOff>19050</xdr:rowOff>
    </xdr:from>
    <xdr:to>
      <xdr:col>9</xdr:col>
      <xdr:colOff>460375</xdr:colOff>
      <xdr:row>52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8</xdr:col>
      <xdr:colOff>793750</xdr:colOff>
      <xdr:row>75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19051</xdr:rowOff>
    </xdr:from>
    <xdr:to>
      <xdr:col>8</xdr:col>
      <xdr:colOff>793750</xdr:colOff>
      <xdr:row>95</xdr:row>
      <xdr:rowOff>9526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96</xdr:row>
      <xdr:rowOff>19050</xdr:rowOff>
    </xdr:from>
    <xdr:to>
      <xdr:col>8</xdr:col>
      <xdr:colOff>812800</xdr:colOff>
      <xdr:row>114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6"/>
  <sheetViews>
    <sheetView tabSelected="1" zoomScaleNormal="100" workbookViewId="0">
      <selection activeCell="K1" sqref="K1"/>
    </sheetView>
  </sheetViews>
  <sheetFormatPr defaultRowHeight="12.75" x14ac:dyDescent="0.2"/>
  <cols>
    <col min="1" max="1" width="57.85546875" customWidth="1"/>
    <col min="2" max="2" width="10.85546875" customWidth="1"/>
    <col min="3" max="3" width="12.140625" bestFit="1" customWidth="1"/>
    <col min="4" max="4" width="13.85546875" customWidth="1"/>
    <col min="5" max="9" width="13.85546875" bestFit="1" customWidth="1"/>
  </cols>
  <sheetData>
    <row r="1" spans="1:9" ht="17.25" customHeight="1" x14ac:dyDescent="0.25">
      <c r="A1" s="183" t="s">
        <v>624</v>
      </c>
      <c r="B1" s="183"/>
      <c r="C1" s="183"/>
      <c r="D1" s="183"/>
      <c r="E1" s="183"/>
      <c r="F1" s="183"/>
      <c r="G1" s="183"/>
      <c r="H1" s="183"/>
      <c r="I1" s="183"/>
    </row>
    <row r="2" spans="1:9" x14ac:dyDescent="0.2">
      <c r="B2" s="114"/>
    </row>
    <row r="3" spans="1:9" x14ac:dyDescent="0.2">
      <c r="A3" s="184"/>
      <c r="B3" s="184"/>
      <c r="C3" s="184"/>
      <c r="D3" s="184"/>
      <c r="E3" s="184"/>
      <c r="F3" s="184"/>
      <c r="G3" s="184"/>
      <c r="H3" s="184"/>
      <c r="I3" s="184"/>
    </row>
    <row r="4" spans="1:9" x14ac:dyDescent="0.2">
      <c r="A4" s="184"/>
      <c r="B4" s="184"/>
      <c r="C4" s="184"/>
      <c r="D4" s="184"/>
      <c r="E4" s="184"/>
      <c r="F4" s="184"/>
      <c r="G4" s="184"/>
      <c r="H4" s="184"/>
      <c r="I4" s="184"/>
    </row>
    <row r="5" spans="1:9" x14ac:dyDescent="0.2">
      <c r="A5" s="184"/>
      <c r="B5" s="184"/>
      <c r="C5" s="184"/>
      <c r="D5" s="184"/>
      <c r="E5" s="184"/>
      <c r="F5" s="184"/>
      <c r="G5" s="184"/>
      <c r="H5" s="184"/>
      <c r="I5" s="184"/>
    </row>
    <row r="6" spans="1:9" x14ac:dyDescent="0.2">
      <c r="A6" s="184"/>
      <c r="B6" s="184"/>
      <c r="C6" s="184"/>
      <c r="D6" s="184"/>
      <c r="E6" s="184"/>
      <c r="F6" s="184"/>
      <c r="G6" s="184"/>
      <c r="H6" s="184"/>
      <c r="I6" s="184"/>
    </row>
    <row r="7" spans="1:9" x14ac:dyDescent="0.2">
      <c r="A7" s="184"/>
      <c r="B7" s="184"/>
      <c r="C7" s="184"/>
      <c r="D7" s="184"/>
      <c r="E7" s="184"/>
      <c r="F7" s="184"/>
      <c r="G7" s="184"/>
      <c r="H7" s="184"/>
      <c r="I7" s="184"/>
    </row>
    <row r="8" spans="1:9" x14ac:dyDescent="0.2">
      <c r="A8" s="184"/>
      <c r="B8" s="184"/>
      <c r="C8" s="184"/>
      <c r="D8" s="184"/>
      <c r="E8" s="184"/>
      <c r="F8" s="184"/>
      <c r="G8" s="184"/>
      <c r="H8" s="184"/>
      <c r="I8" s="184"/>
    </row>
    <row r="9" spans="1:9" x14ac:dyDescent="0.2">
      <c r="A9" s="184"/>
      <c r="B9" s="184"/>
      <c r="C9" s="184"/>
      <c r="D9" s="184"/>
      <c r="E9" s="184"/>
      <c r="F9" s="184"/>
      <c r="G9" s="184"/>
      <c r="H9" s="184"/>
      <c r="I9" s="184"/>
    </row>
    <row r="10" spans="1:9" x14ac:dyDescent="0.2">
      <c r="A10" s="184"/>
      <c r="B10" s="184"/>
      <c r="C10" s="184"/>
      <c r="D10" s="184"/>
      <c r="E10" s="184"/>
      <c r="F10" s="184"/>
      <c r="G10" s="184"/>
      <c r="H10" s="184"/>
      <c r="I10" s="184"/>
    </row>
    <row r="11" spans="1:9" x14ac:dyDescent="0.2">
      <c r="A11" s="184"/>
      <c r="B11" s="184"/>
      <c r="C11" s="184"/>
      <c r="D11" s="184"/>
      <c r="E11" s="184"/>
      <c r="F11" s="184"/>
      <c r="G11" s="184"/>
      <c r="H11" s="184"/>
      <c r="I11" s="184"/>
    </row>
    <row r="12" spans="1:9" x14ac:dyDescent="0.2">
      <c r="A12" s="184"/>
      <c r="B12" s="184"/>
      <c r="C12" s="184"/>
      <c r="D12" s="184"/>
      <c r="E12" s="184"/>
      <c r="F12" s="184"/>
      <c r="G12" s="184"/>
      <c r="H12" s="184"/>
      <c r="I12" s="184"/>
    </row>
    <row r="13" spans="1:9" x14ac:dyDescent="0.2">
      <c r="A13" s="184"/>
      <c r="B13" s="184"/>
      <c r="C13" s="184"/>
      <c r="D13" s="184"/>
      <c r="E13" s="184"/>
      <c r="F13" s="184"/>
      <c r="G13" s="184"/>
      <c r="H13" s="184"/>
      <c r="I13" s="184"/>
    </row>
    <row r="14" spans="1:9" x14ac:dyDescent="0.2">
      <c r="A14" s="184"/>
      <c r="B14" s="184"/>
      <c r="C14" s="184"/>
      <c r="D14" s="184"/>
      <c r="E14" s="184"/>
      <c r="F14" s="184"/>
      <c r="G14" s="184"/>
      <c r="H14" s="184"/>
      <c r="I14" s="184"/>
    </row>
    <row r="15" spans="1:9" x14ac:dyDescent="0.2">
      <c r="A15" s="184"/>
      <c r="B15" s="184"/>
      <c r="C15" s="184"/>
      <c r="D15" s="184"/>
      <c r="E15" s="184"/>
      <c r="F15" s="184"/>
      <c r="G15" s="184"/>
      <c r="H15" s="184"/>
      <c r="I15" s="184"/>
    </row>
    <row r="16" spans="1:9" x14ac:dyDescent="0.2">
      <c r="A16" s="184"/>
      <c r="B16" s="184"/>
      <c r="C16" s="184"/>
      <c r="D16" s="184"/>
      <c r="E16" s="184"/>
      <c r="F16" s="184"/>
      <c r="G16" s="184"/>
      <c r="H16" s="184"/>
      <c r="I16" s="184"/>
    </row>
    <row r="17" spans="1:9" x14ac:dyDescent="0.2">
      <c r="A17" s="184"/>
      <c r="B17" s="184"/>
      <c r="C17" s="184"/>
      <c r="D17" s="184"/>
      <c r="E17" s="184"/>
      <c r="F17" s="184"/>
      <c r="G17" s="184"/>
      <c r="H17" s="184"/>
      <c r="I17" s="184"/>
    </row>
    <row r="18" spans="1:9" x14ac:dyDescent="0.2">
      <c r="A18" s="184"/>
      <c r="B18" s="184"/>
      <c r="C18" s="184"/>
      <c r="D18" s="184"/>
      <c r="E18" s="184"/>
      <c r="F18" s="184"/>
      <c r="G18" s="184"/>
      <c r="H18" s="184"/>
      <c r="I18" s="184"/>
    </row>
    <row r="19" spans="1:9" x14ac:dyDescent="0.2">
      <c r="A19" s="184"/>
      <c r="B19" s="184"/>
      <c r="C19" s="184"/>
      <c r="D19" s="184"/>
      <c r="E19" s="184"/>
      <c r="F19" s="184"/>
      <c r="G19" s="184"/>
      <c r="H19" s="184"/>
      <c r="I19" s="184"/>
    </row>
    <row r="20" spans="1:9" x14ac:dyDescent="0.2">
      <c r="A20" s="184"/>
      <c r="B20" s="184"/>
      <c r="C20" s="184"/>
      <c r="D20" s="184"/>
      <c r="E20" s="184"/>
      <c r="F20" s="184"/>
      <c r="G20" s="184"/>
      <c r="H20" s="184"/>
      <c r="I20" s="184"/>
    </row>
    <row r="21" spans="1:9" x14ac:dyDescent="0.2">
      <c r="A21" s="184"/>
      <c r="B21" s="184"/>
      <c r="C21" s="184"/>
      <c r="D21" s="184"/>
      <c r="E21" s="184"/>
      <c r="F21" s="184"/>
      <c r="G21" s="184"/>
      <c r="H21" s="184"/>
      <c r="I21" s="184"/>
    </row>
    <row r="22" spans="1:9" x14ac:dyDescent="0.2">
      <c r="A22" s="184"/>
      <c r="B22" s="184"/>
      <c r="C22" s="184"/>
      <c r="D22" s="184"/>
      <c r="E22" s="184"/>
      <c r="F22" s="184"/>
      <c r="G22" s="184"/>
      <c r="H22" s="184"/>
      <c r="I22" s="184"/>
    </row>
    <row r="23" spans="1:9" x14ac:dyDescent="0.2">
      <c r="A23" s="184"/>
      <c r="B23" s="184"/>
      <c r="C23" s="184"/>
      <c r="D23" s="184"/>
      <c r="E23" s="184"/>
      <c r="F23" s="184"/>
      <c r="G23" s="184"/>
      <c r="H23" s="184"/>
      <c r="I23" s="184"/>
    </row>
    <row r="24" spans="1:9" x14ac:dyDescent="0.2">
      <c r="A24" s="184"/>
      <c r="B24" s="184"/>
      <c r="C24" s="184"/>
      <c r="D24" s="184"/>
      <c r="E24" s="184"/>
      <c r="F24" s="184"/>
      <c r="G24" s="184"/>
      <c r="H24" s="184"/>
      <c r="I24" s="184"/>
    </row>
    <row r="25" spans="1:9" x14ac:dyDescent="0.2">
      <c r="A25" s="184"/>
      <c r="B25" s="184"/>
      <c r="C25" s="184"/>
      <c r="D25" s="184"/>
      <c r="E25" s="184"/>
      <c r="F25" s="184"/>
      <c r="G25" s="184"/>
      <c r="H25" s="184"/>
      <c r="I25" s="184"/>
    </row>
    <row r="26" spans="1:9" x14ac:dyDescent="0.2">
      <c r="A26" s="184"/>
      <c r="B26" s="184"/>
      <c r="C26" s="184"/>
      <c r="D26" s="184"/>
      <c r="E26" s="184"/>
      <c r="F26" s="184"/>
      <c r="G26" s="184"/>
      <c r="H26" s="184"/>
      <c r="I26" s="184"/>
    </row>
    <row r="27" spans="1:9" x14ac:dyDescent="0.2">
      <c r="A27" s="184"/>
      <c r="B27" s="184"/>
      <c r="C27" s="184"/>
      <c r="D27" s="184"/>
      <c r="E27" s="184"/>
      <c r="F27" s="184"/>
      <c r="G27" s="184"/>
      <c r="H27" s="184"/>
      <c r="I27" s="184"/>
    </row>
    <row r="28" spans="1:9" x14ac:dyDescent="0.2">
      <c r="A28" s="184"/>
      <c r="B28" s="184"/>
      <c r="C28" s="184"/>
      <c r="D28" s="184"/>
      <c r="E28" s="184"/>
      <c r="F28" s="184"/>
      <c r="G28" s="184"/>
      <c r="H28" s="184"/>
      <c r="I28" s="184"/>
    </row>
    <row r="29" spans="1:9" x14ac:dyDescent="0.2">
      <c r="A29" s="184"/>
      <c r="B29" s="184"/>
      <c r="C29" s="184"/>
      <c r="D29" s="184"/>
      <c r="E29" s="184"/>
      <c r="F29" s="184"/>
      <c r="G29" s="184"/>
      <c r="H29" s="184"/>
      <c r="I29" s="184"/>
    </row>
    <row r="30" spans="1:9" x14ac:dyDescent="0.2">
      <c r="A30" s="184"/>
      <c r="B30" s="184"/>
      <c r="C30" s="184"/>
      <c r="D30" s="184"/>
      <c r="E30" s="184"/>
      <c r="F30" s="184"/>
      <c r="G30" s="184"/>
      <c r="H30" s="184"/>
      <c r="I30" s="184"/>
    </row>
    <row r="31" spans="1:9" x14ac:dyDescent="0.2">
      <c r="A31" s="184"/>
      <c r="B31" s="184"/>
      <c r="C31" s="184"/>
      <c r="D31" s="184"/>
      <c r="E31" s="184"/>
      <c r="F31" s="184"/>
      <c r="G31" s="184"/>
      <c r="H31" s="184"/>
      <c r="I31" s="184"/>
    </row>
    <row r="32" spans="1:9" x14ac:dyDescent="0.2">
      <c r="A32" s="184"/>
      <c r="B32" s="184"/>
      <c r="C32" s="184"/>
      <c r="D32" s="184"/>
      <c r="E32" s="184"/>
      <c r="F32" s="184"/>
      <c r="G32" s="184"/>
      <c r="H32" s="184"/>
      <c r="I32" s="184"/>
    </row>
    <row r="33" spans="1:9" x14ac:dyDescent="0.2">
      <c r="A33" s="184"/>
      <c r="B33" s="184"/>
      <c r="C33" s="184"/>
      <c r="D33" s="184"/>
      <c r="E33" s="184"/>
      <c r="F33" s="184"/>
      <c r="G33" s="184"/>
      <c r="H33" s="184"/>
      <c r="I33" s="184"/>
    </row>
    <row r="34" spans="1:9" x14ac:dyDescent="0.2">
      <c r="A34" s="184"/>
      <c r="B34" s="184"/>
      <c r="C34" s="184"/>
      <c r="D34" s="184"/>
      <c r="E34" s="184"/>
      <c r="F34" s="184"/>
      <c r="G34" s="184"/>
      <c r="H34" s="184"/>
      <c r="I34" s="184"/>
    </row>
    <row r="35" spans="1:9" x14ac:dyDescent="0.2">
      <c r="A35" s="184"/>
      <c r="B35" s="184"/>
      <c r="C35" s="184"/>
      <c r="D35" s="184"/>
      <c r="E35" s="184"/>
      <c r="F35" s="184"/>
      <c r="G35" s="184"/>
      <c r="H35" s="184"/>
      <c r="I35" s="184"/>
    </row>
    <row r="36" spans="1:9" x14ac:dyDescent="0.2">
      <c r="A36" s="115"/>
      <c r="B36" s="115"/>
      <c r="C36" s="115"/>
      <c r="D36" s="115"/>
      <c r="E36" s="115"/>
      <c r="F36" s="115"/>
      <c r="G36" s="115"/>
      <c r="H36" s="115"/>
      <c r="I36" s="115"/>
    </row>
  </sheetData>
  <mergeCells count="2">
    <mergeCell ref="A1:I1"/>
    <mergeCell ref="A3:I35"/>
  </mergeCells>
  <printOptions gridLine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12" zoomScale="110" zoomScaleNormal="110" workbookViewId="0">
      <selection activeCell="B35" sqref="B35"/>
    </sheetView>
  </sheetViews>
  <sheetFormatPr defaultColWidth="11.85546875" defaultRowHeight="12.75" x14ac:dyDescent="0.2"/>
  <cols>
    <col min="1" max="1" width="43.28515625" customWidth="1"/>
    <col min="2" max="2" width="12.140625" customWidth="1"/>
  </cols>
  <sheetData>
    <row r="1" spans="1:3" x14ac:dyDescent="0.2">
      <c r="A1" s="137" t="s">
        <v>534</v>
      </c>
      <c r="B1" s="1" t="s">
        <v>411</v>
      </c>
    </row>
    <row r="2" spans="1:3" x14ac:dyDescent="0.2">
      <c r="A2" s="1"/>
      <c r="B2" s="1"/>
    </row>
    <row r="3" spans="1:3" s="6" customFormat="1" x14ac:dyDescent="0.2">
      <c r="A3" s="6" t="s">
        <v>532</v>
      </c>
      <c r="B3" s="42">
        <f xml:space="preserve"> '20MGD 60Effect Evaporator Cost'!I28</f>
        <v>26869167.919999998</v>
      </c>
      <c r="C3"/>
    </row>
    <row r="4" spans="1:3" x14ac:dyDescent="0.2">
      <c r="A4" t="s">
        <v>209</v>
      </c>
      <c r="B4" s="30">
        <f xml:space="preserve"> '20MGD 60Effect Evaporator Cost'!I30</f>
        <v>35360</v>
      </c>
    </row>
    <row r="5" spans="1:3" x14ac:dyDescent="0.2">
      <c r="A5" t="s">
        <v>210</v>
      </c>
      <c r="B5" s="30">
        <f xml:space="preserve"> '20MGD 60Effect VTE Excavation'!J4</f>
        <v>37925.925925925927</v>
      </c>
    </row>
    <row r="6" spans="1:3" x14ac:dyDescent="0.2">
      <c r="A6" t="s">
        <v>211</v>
      </c>
      <c r="B6" s="30">
        <f xml:space="preserve"> '20MGD 60Effect VTE Excavation'!J5</f>
        <v>13333.333333333334</v>
      </c>
    </row>
    <row r="7" spans="1:3" x14ac:dyDescent="0.2">
      <c r="A7" t="s">
        <v>212</v>
      </c>
      <c r="B7" s="30">
        <v>20000</v>
      </c>
    </row>
    <row r="8" spans="1:3" x14ac:dyDescent="0.2">
      <c r="A8" t="s">
        <v>213</v>
      </c>
      <c r="B8" s="30">
        <f xml:space="preserve"> 707000 * '20MGD 60Effect Pump Specs'!H10 / '5MGD 15 Effect Pump Specs kW'!H10</f>
        <v>1751840.943786683</v>
      </c>
    </row>
    <row r="9" spans="1:3" x14ac:dyDescent="0.2">
      <c r="A9" t="s">
        <v>214</v>
      </c>
      <c r="B9" s="30">
        <v>50000</v>
      </c>
    </row>
    <row r="10" spans="1:3" x14ac:dyDescent="0.2">
      <c r="A10" t="s">
        <v>215</v>
      </c>
      <c r="B10" s="30">
        <f xml:space="preserve"> 4 * 300000</f>
        <v>1200000</v>
      </c>
    </row>
    <row r="11" spans="1:3" x14ac:dyDescent="0.2">
      <c r="A11" t="s">
        <v>216</v>
      </c>
      <c r="B11" s="30">
        <f xml:space="preserve"> 4 *250000</f>
        <v>1000000</v>
      </c>
    </row>
    <row r="12" spans="1:3" x14ac:dyDescent="0.2">
      <c r="A12" t="s">
        <v>217</v>
      </c>
      <c r="B12" s="30">
        <f xml:space="preserve"> 4 * 100000</f>
        <v>400000</v>
      </c>
    </row>
    <row r="13" spans="1:3" x14ac:dyDescent="0.2">
      <c r="A13" t="s">
        <v>218</v>
      </c>
      <c r="B13" s="30">
        <f>50000</f>
        <v>50000</v>
      </c>
    </row>
    <row r="14" spans="1:3" x14ac:dyDescent="0.2">
      <c r="A14" t="s">
        <v>219</v>
      </c>
      <c r="B14" s="30">
        <f xml:space="preserve"> 4*10000</f>
        <v>40000</v>
      </c>
    </row>
    <row r="15" spans="1:3" x14ac:dyDescent="0.2">
      <c r="A15" s="1" t="s">
        <v>220</v>
      </c>
      <c r="B15" s="28">
        <f>SUM(B3:B14)</f>
        <v>31467628.12304594</v>
      </c>
    </row>
    <row r="16" spans="1:3" x14ac:dyDescent="0.2">
      <c r="B16" s="30"/>
    </row>
    <row r="17" spans="1:2" x14ac:dyDescent="0.2">
      <c r="A17" t="s">
        <v>221</v>
      </c>
      <c r="B17" s="30">
        <f>$B$15*0.015</f>
        <v>472014.42184568907</v>
      </c>
    </row>
    <row r="18" spans="1:2" x14ac:dyDescent="0.2">
      <c r="A18" t="s">
        <v>222</v>
      </c>
      <c r="B18" s="30">
        <f>$B$15*0.005</f>
        <v>157338.1406152297</v>
      </c>
    </row>
    <row r="19" spans="1:2" x14ac:dyDescent="0.2">
      <c r="A19" t="s">
        <v>223</v>
      </c>
      <c r="B19" s="30">
        <v>167000</v>
      </c>
    </row>
    <row r="20" spans="1:2" x14ac:dyDescent="0.2">
      <c r="A20" t="s">
        <v>224</v>
      </c>
      <c r="B20" s="30">
        <f>2*367000</f>
        <v>734000</v>
      </c>
    </row>
    <row r="21" spans="1:2" x14ac:dyDescent="0.2">
      <c r="A21" s="1" t="s">
        <v>225</v>
      </c>
      <c r="B21" s="28">
        <f>SUM(B17:B20)</f>
        <v>1530352.5624609189</v>
      </c>
    </row>
    <row r="22" spans="1:2" x14ac:dyDescent="0.2">
      <c r="B22" s="30"/>
    </row>
    <row r="23" spans="1:2" x14ac:dyDescent="0.2">
      <c r="A23" t="s">
        <v>226</v>
      </c>
      <c r="B23" s="30">
        <f>0.15*(B15+B21)</f>
        <v>4949697.1028260281</v>
      </c>
    </row>
    <row r="24" spans="1:2" x14ac:dyDescent="0.2">
      <c r="A24" s="1" t="s">
        <v>227</v>
      </c>
      <c r="B24" s="28">
        <f>SUM(B15,B21,B23)</f>
        <v>37947677.788332887</v>
      </c>
    </row>
    <row r="25" spans="1:2" x14ac:dyDescent="0.2">
      <c r="B25" s="30"/>
    </row>
    <row r="26" spans="1:2" x14ac:dyDescent="0.2">
      <c r="A26" t="s">
        <v>228</v>
      </c>
      <c r="B26" s="30">
        <f>B15*0.015</f>
        <v>472014.42184568907</v>
      </c>
    </row>
    <row r="27" spans="1:2" x14ac:dyDescent="0.2">
      <c r="A27" t="s">
        <v>229</v>
      </c>
      <c r="B27" s="30">
        <f>$B$24*0.05</f>
        <v>1897383.8894166443</v>
      </c>
    </row>
    <row r="28" spans="1:2" x14ac:dyDescent="0.2">
      <c r="A28" t="s">
        <v>310</v>
      </c>
      <c r="B28" s="30">
        <f>$B$24*0.08</f>
        <v>3035814.2230666312</v>
      </c>
    </row>
    <row r="29" spans="1:2" s="1" customFormat="1" x14ac:dyDescent="0.2">
      <c r="A29" s="1" t="s">
        <v>230</v>
      </c>
      <c r="B29" s="28">
        <f>SUM(B24,B26:B28)</f>
        <v>43352890.322661847</v>
      </c>
    </row>
    <row r="30" spans="1:2" x14ac:dyDescent="0.2">
      <c r="B30" s="30"/>
    </row>
    <row r="31" spans="1:2" x14ac:dyDescent="0.2">
      <c r="A31" t="s">
        <v>231</v>
      </c>
      <c r="B31" s="30">
        <f>$B$29*0.08</f>
        <v>3468231.2258129478</v>
      </c>
    </row>
    <row r="32" spans="1:2" x14ac:dyDescent="0.2">
      <c r="A32" t="s">
        <v>232</v>
      </c>
      <c r="B32" s="30">
        <f>$B$29*0.1</f>
        <v>4335289.0322661847</v>
      </c>
    </row>
    <row r="33" spans="1:2" x14ac:dyDescent="0.2">
      <c r="A33" s="1" t="s">
        <v>233</v>
      </c>
      <c r="B33" s="28">
        <f>SUM(B29,B31:B32)</f>
        <v>51156410.580740981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110" zoomScaleNormal="110" workbookViewId="0">
      <selection activeCell="B6" sqref="B6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234</v>
      </c>
      <c r="C1" s="1" t="s">
        <v>107</v>
      </c>
      <c r="D1" s="1" t="s">
        <v>235</v>
      </c>
      <c r="E1" s="1" t="s">
        <v>107</v>
      </c>
      <c r="F1" s="1" t="s">
        <v>236</v>
      </c>
      <c r="G1" s="1" t="s">
        <v>107</v>
      </c>
      <c r="H1" s="1" t="s">
        <v>237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238</v>
      </c>
      <c r="B3" s="5">
        <v>1800</v>
      </c>
      <c r="C3" t="s">
        <v>239</v>
      </c>
      <c r="D3">
        <v>4</v>
      </c>
      <c r="E3" s="5" t="s">
        <v>240</v>
      </c>
      <c r="F3" s="5">
        <f>B3*D3/12</f>
        <v>600</v>
      </c>
      <c r="G3" s="5" t="s">
        <v>241</v>
      </c>
      <c r="H3" s="10">
        <v>106</v>
      </c>
      <c r="I3" s="5" t="s">
        <v>241</v>
      </c>
      <c r="J3" s="30">
        <f>F3*H3</f>
        <v>63600</v>
      </c>
    </row>
    <row r="4" spans="1:10" x14ac:dyDescent="0.2">
      <c r="A4" t="s">
        <v>210</v>
      </c>
      <c r="B4">
        <v>8</v>
      </c>
      <c r="C4" t="s">
        <v>170</v>
      </c>
      <c r="D4" s="3">
        <f>20*2*8</f>
        <v>320</v>
      </c>
      <c r="E4" s="5" t="s">
        <v>241</v>
      </c>
      <c r="F4" s="15">
        <f>B4*D4/27</f>
        <v>94.81481481481481</v>
      </c>
      <c r="G4" t="s">
        <v>242</v>
      </c>
      <c r="H4" s="10">
        <v>400</v>
      </c>
      <c r="I4" t="s">
        <v>242</v>
      </c>
      <c r="J4" s="30">
        <f>F4*H4</f>
        <v>37925.925925925927</v>
      </c>
    </row>
    <row r="5" spans="1:10" x14ac:dyDescent="0.2">
      <c r="A5" t="s">
        <v>211</v>
      </c>
      <c r="B5">
        <v>8</v>
      </c>
      <c r="C5" t="s">
        <v>170</v>
      </c>
      <c r="D5" s="3">
        <f>25*6*6</f>
        <v>900</v>
      </c>
      <c r="E5" s="5" t="s">
        <v>241</v>
      </c>
      <c r="F5" s="15">
        <f>B5*D5/27</f>
        <v>266.66666666666669</v>
      </c>
      <c r="G5" t="s">
        <v>242</v>
      </c>
      <c r="H5" s="10">
        <v>50</v>
      </c>
      <c r="I5" t="s">
        <v>242</v>
      </c>
      <c r="J5" s="30">
        <f>F5*H5</f>
        <v>13333.333333333334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110" zoomScaleNormal="110" workbookViewId="0">
      <selection activeCell="C3" sqref="C3"/>
    </sheetView>
  </sheetViews>
  <sheetFormatPr defaultColWidth="11.5703125" defaultRowHeight="12.75" x14ac:dyDescent="0.2"/>
  <cols>
    <col min="1" max="1" width="14.710937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243</v>
      </c>
      <c r="B1" s="1" t="s">
        <v>244</v>
      </c>
      <c r="C1" s="1" t="s">
        <v>245</v>
      </c>
      <c r="D1" s="1" t="s">
        <v>246</v>
      </c>
      <c r="E1" s="1" t="s">
        <v>247</v>
      </c>
      <c r="F1" s="1" t="s">
        <v>248</v>
      </c>
      <c r="G1" s="1" t="s">
        <v>249</v>
      </c>
      <c r="H1" s="1" t="s">
        <v>250</v>
      </c>
    </row>
    <row r="2" spans="1:8" x14ac:dyDescent="0.2">
      <c r="C2" s="43" t="s">
        <v>251</v>
      </c>
      <c r="D2" s="43" t="s">
        <v>252</v>
      </c>
    </row>
    <row r="3" spans="1:8" x14ac:dyDescent="0.2">
      <c r="A3" t="s">
        <v>253</v>
      </c>
      <c r="B3">
        <f xml:space="preserve"> 60/5</f>
        <v>12</v>
      </c>
      <c r="C3" s="5">
        <v>4342</v>
      </c>
      <c r="D3">
        <v>80</v>
      </c>
      <c r="E3" s="7">
        <v>1.2</v>
      </c>
      <c r="F3" s="4">
        <v>0.75</v>
      </c>
      <c r="G3" s="3">
        <f>(C3*D3*E3)/(3960*F3)</f>
        <v>140.34747474747473</v>
      </c>
      <c r="H3" s="11">
        <f>B3*G3</f>
        <v>1684.1696969696968</v>
      </c>
    </row>
    <row r="4" spans="1:8" x14ac:dyDescent="0.2">
      <c r="A4" t="s">
        <v>254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ref="G4:G9" si="0">(C4*D4*E4)/(3960*F4)</f>
        <v>123.95399113082041</v>
      </c>
      <c r="H4" s="11">
        <f t="shared" ref="H4:H9" si="1">B4*G4</f>
        <v>123.95399113082041</v>
      </c>
    </row>
    <row r="5" spans="1:8" x14ac:dyDescent="0.2">
      <c r="A5" t="s">
        <v>255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256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257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258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259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250</v>
      </c>
      <c r="C10" s="5"/>
      <c r="E10" s="7"/>
      <c r="F10" s="4"/>
      <c r="G10" s="44"/>
      <c r="H10" s="44">
        <f>SUM(H3:H9)</f>
        <v>2117.8324669759627</v>
      </c>
    </row>
    <row r="11" spans="1:8" x14ac:dyDescent="0.2">
      <c r="A11" s="1" t="s">
        <v>260</v>
      </c>
      <c r="C11" s="5"/>
      <c r="E11" s="7"/>
      <c r="F11" s="4"/>
      <c r="G11" s="5"/>
      <c r="H11" s="13">
        <f>H10*745.699872/1000</f>
        <v>1579.2673995414198</v>
      </c>
    </row>
    <row r="13" spans="1:8" x14ac:dyDescent="0.2">
      <c r="A13" t="s">
        <v>261</v>
      </c>
      <c r="C13" t="s">
        <v>262</v>
      </c>
      <c r="H13" s="5"/>
    </row>
    <row r="14" spans="1:8" x14ac:dyDescent="0.2">
      <c r="A14" t="s">
        <v>263</v>
      </c>
      <c r="C14" t="s">
        <v>264</v>
      </c>
    </row>
    <row r="15" spans="1:8" x14ac:dyDescent="0.2">
      <c r="A15" t="s">
        <v>265</v>
      </c>
      <c r="C15" t="s">
        <v>266</v>
      </c>
    </row>
    <row r="16" spans="1:8" x14ac:dyDescent="0.2">
      <c r="A16" t="s">
        <v>267</v>
      </c>
      <c r="C16" t="s">
        <v>268</v>
      </c>
    </row>
    <row r="17" spans="1:3" x14ac:dyDescent="0.2">
      <c r="A17" t="s">
        <v>269</v>
      </c>
      <c r="C17" t="s">
        <v>270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7" zoomScale="110" zoomScaleNormal="110" workbookViewId="0">
      <selection activeCell="A3" sqref="A3"/>
    </sheetView>
  </sheetViews>
  <sheetFormatPr defaultColWidth="11.5703125" defaultRowHeight="12.75" x14ac:dyDescent="0.2"/>
  <cols>
    <col min="1" max="1" width="28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2.42578125" customWidth="1"/>
    <col min="9" max="9" width="13.28515625" customWidth="1"/>
  </cols>
  <sheetData>
    <row r="1" spans="1:9" s="1" customFormat="1" x14ac:dyDescent="0.2">
      <c r="A1" s="1" t="s">
        <v>271</v>
      </c>
      <c r="B1" s="1" t="s">
        <v>311</v>
      </c>
      <c r="C1" s="1" t="s">
        <v>272</v>
      </c>
      <c r="D1" s="1" t="s">
        <v>272</v>
      </c>
      <c r="E1" s="1" t="s">
        <v>312</v>
      </c>
      <c r="F1" s="1" t="s">
        <v>237</v>
      </c>
      <c r="G1" s="1" t="s">
        <v>107</v>
      </c>
      <c r="H1" s="1" t="s">
        <v>538</v>
      </c>
      <c r="I1" s="1" t="s">
        <v>106</v>
      </c>
    </row>
    <row r="2" spans="1:9" s="1" customFormat="1" x14ac:dyDescent="0.2">
      <c r="A2" s="1" t="s">
        <v>552</v>
      </c>
      <c r="B2" s="45" t="s">
        <v>273</v>
      </c>
      <c r="E2" s="45" t="s">
        <v>274</v>
      </c>
      <c r="F2" s="45"/>
      <c r="G2" s="45"/>
      <c r="H2" s="45" t="s">
        <v>537</v>
      </c>
    </row>
    <row r="3" spans="1:9" x14ac:dyDescent="0.2">
      <c r="A3" t="s">
        <v>275</v>
      </c>
      <c r="B3">
        <v>698</v>
      </c>
      <c r="C3" t="s">
        <v>276</v>
      </c>
      <c r="D3" t="s">
        <v>277</v>
      </c>
      <c r="E3" s="5">
        <f>B3*0.245</f>
        <v>171.01</v>
      </c>
      <c r="F3" s="10">
        <v>1600</v>
      </c>
      <c r="G3" s="30" t="s">
        <v>278</v>
      </c>
      <c r="H3" s="136">
        <f xml:space="preserve"> 60/15</f>
        <v>4</v>
      </c>
      <c r="I3" s="30">
        <f>E3*F3*H3</f>
        <v>1094464</v>
      </c>
    </row>
    <row r="4" spans="1:9" x14ac:dyDescent="0.2">
      <c r="A4" t="s">
        <v>279</v>
      </c>
      <c r="B4">
        <v>140</v>
      </c>
      <c r="C4" t="s">
        <v>276</v>
      </c>
      <c r="D4" t="s">
        <v>277</v>
      </c>
      <c r="E4" s="5">
        <f>B4*0.245</f>
        <v>34.299999999999997</v>
      </c>
      <c r="F4" s="10">
        <v>1600</v>
      </c>
      <c r="G4" s="30" t="s">
        <v>278</v>
      </c>
      <c r="H4" s="136">
        <f t="shared" ref="H4:H16" si="0" xml:space="preserve"> 60/15</f>
        <v>4</v>
      </c>
      <c r="I4" s="30">
        <f t="shared" ref="I4:I16" si="1">E4*F4*H4</f>
        <v>219519.99999999997</v>
      </c>
    </row>
    <row r="5" spans="1:9" x14ac:dyDescent="0.2">
      <c r="A5" t="s">
        <v>280</v>
      </c>
      <c r="B5">
        <v>24</v>
      </c>
      <c r="C5" t="s">
        <v>276</v>
      </c>
      <c r="D5" t="s">
        <v>277</v>
      </c>
      <c r="E5" s="5">
        <f>B5*0.245</f>
        <v>5.88</v>
      </c>
      <c r="F5" s="10">
        <v>1600</v>
      </c>
      <c r="G5" s="30" t="s">
        <v>278</v>
      </c>
      <c r="H5" s="136">
        <f t="shared" si="0"/>
        <v>4</v>
      </c>
      <c r="I5" s="30">
        <f t="shared" si="1"/>
        <v>37632</v>
      </c>
    </row>
    <row r="6" spans="1:9" x14ac:dyDescent="0.2">
      <c r="A6" t="s">
        <v>281</v>
      </c>
      <c r="B6">
        <v>8</v>
      </c>
      <c r="C6" t="s">
        <v>276</v>
      </c>
      <c r="D6" t="s">
        <v>277</v>
      </c>
      <c r="E6" s="5">
        <f>B6*0.245</f>
        <v>1.96</v>
      </c>
      <c r="F6" s="10">
        <v>1600</v>
      </c>
      <c r="G6" s="30" t="s">
        <v>278</v>
      </c>
      <c r="H6" s="136">
        <f t="shared" si="0"/>
        <v>4</v>
      </c>
      <c r="I6" s="30">
        <f t="shared" si="1"/>
        <v>12544</v>
      </c>
    </row>
    <row r="7" spans="1:9" x14ac:dyDescent="0.2">
      <c r="A7" t="s">
        <v>282</v>
      </c>
      <c r="B7">
        <v>116.3</v>
      </c>
      <c r="C7" t="s">
        <v>264</v>
      </c>
      <c r="D7" t="s">
        <v>264</v>
      </c>
      <c r="E7" s="5">
        <f t="shared" ref="E7:E14" si="2">B7*0.25</f>
        <v>29.074999999999999</v>
      </c>
      <c r="F7" s="10">
        <v>4420</v>
      </c>
      <c r="G7" s="30" t="s">
        <v>278</v>
      </c>
      <c r="H7" s="136">
        <f t="shared" si="0"/>
        <v>4</v>
      </c>
      <c r="I7" s="30">
        <f t="shared" si="1"/>
        <v>514046</v>
      </c>
    </row>
    <row r="8" spans="1:9" x14ac:dyDescent="0.2">
      <c r="A8" t="s">
        <v>283</v>
      </c>
      <c r="B8">
        <v>4</v>
      </c>
      <c r="C8" t="s">
        <v>264</v>
      </c>
      <c r="D8" t="s">
        <v>264</v>
      </c>
      <c r="E8" s="11">
        <f t="shared" si="2"/>
        <v>1</v>
      </c>
      <c r="F8" s="10">
        <v>4420</v>
      </c>
      <c r="G8" s="30" t="s">
        <v>278</v>
      </c>
      <c r="H8" s="136">
        <f t="shared" si="0"/>
        <v>4</v>
      </c>
      <c r="I8" s="30">
        <f t="shared" si="1"/>
        <v>17680</v>
      </c>
    </row>
    <row r="9" spans="1:9" x14ac:dyDescent="0.2">
      <c r="A9" t="s">
        <v>284</v>
      </c>
      <c r="B9">
        <v>2</v>
      </c>
      <c r="C9" t="s">
        <v>264</v>
      </c>
      <c r="D9" t="s">
        <v>264</v>
      </c>
      <c r="E9" s="11">
        <f t="shared" si="2"/>
        <v>0.5</v>
      </c>
      <c r="F9" s="10">
        <v>4420</v>
      </c>
      <c r="G9" s="30" t="s">
        <v>278</v>
      </c>
      <c r="H9" s="136">
        <f t="shared" si="0"/>
        <v>4</v>
      </c>
      <c r="I9" s="30">
        <f t="shared" si="1"/>
        <v>8840</v>
      </c>
    </row>
    <row r="10" spans="1:9" x14ac:dyDescent="0.2">
      <c r="A10" t="s">
        <v>285</v>
      </c>
      <c r="B10">
        <v>1</v>
      </c>
      <c r="C10" t="s">
        <v>264</v>
      </c>
      <c r="D10" t="s">
        <v>264</v>
      </c>
      <c r="E10" s="11">
        <f t="shared" si="2"/>
        <v>0.25</v>
      </c>
      <c r="F10" s="10">
        <v>4420</v>
      </c>
      <c r="G10" s="30" t="s">
        <v>278</v>
      </c>
      <c r="H10" s="136">
        <f t="shared" si="0"/>
        <v>4</v>
      </c>
      <c r="I10" s="30">
        <f t="shared" si="1"/>
        <v>4420</v>
      </c>
    </row>
    <row r="11" spans="1:9" x14ac:dyDescent="0.2">
      <c r="A11" t="s">
        <v>286</v>
      </c>
      <c r="B11" s="5">
        <v>1433</v>
      </c>
      <c r="C11" t="s">
        <v>264</v>
      </c>
      <c r="D11" t="s">
        <v>264</v>
      </c>
      <c r="E11" s="5">
        <f t="shared" si="2"/>
        <v>358.25</v>
      </c>
      <c r="F11" s="10">
        <v>4420</v>
      </c>
      <c r="G11" s="30" t="s">
        <v>278</v>
      </c>
      <c r="H11" s="136">
        <f t="shared" si="0"/>
        <v>4</v>
      </c>
      <c r="I11" s="30">
        <f>E11*F11*H11</f>
        <v>6333860</v>
      </c>
    </row>
    <row r="12" spans="1:9" x14ac:dyDescent="0.2">
      <c r="A12" t="s">
        <v>287</v>
      </c>
      <c r="B12" s="5">
        <v>147</v>
      </c>
      <c r="C12" t="s">
        <v>264</v>
      </c>
      <c r="D12" t="s">
        <v>264</v>
      </c>
      <c r="E12" s="5">
        <f t="shared" si="2"/>
        <v>36.75</v>
      </c>
      <c r="F12" s="10">
        <v>4420</v>
      </c>
      <c r="G12" s="30" t="s">
        <v>278</v>
      </c>
      <c r="H12" s="136">
        <f t="shared" si="0"/>
        <v>4</v>
      </c>
      <c r="I12" s="30">
        <f t="shared" si="1"/>
        <v>649740</v>
      </c>
    </row>
    <row r="13" spans="1:9" x14ac:dyDescent="0.2">
      <c r="A13" t="s">
        <v>288</v>
      </c>
      <c r="B13" s="5">
        <v>110</v>
      </c>
      <c r="C13" t="s">
        <v>264</v>
      </c>
      <c r="D13" t="s">
        <v>264</v>
      </c>
      <c r="E13" s="5">
        <f t="shared" si="2"/>
        <v>27.5</v>
      </c>
      <c r="F13" s="10">
        <v>4420</v>
      </c>
      <c r="G13" s="30" t="s">
        <v>278</v>
      </c>
      <c r="H13" s="136">
        <f t="shared" si="0"/>
        <v>4</v>
      </c>
      <c r="I13" s="30">
        <f t="shared" si="1"/>
        <v>486200</v>
      </c>
    </row>
    <row r="14" spans="1:9" x14ac:dyDescent="0.2">
      <c r="A14" t="s">
        <v>289</v>
      </c>
      <c r="B14" s="5">
        <v>2160</v>
      </c>
      <c r="C14" t="s">
        <v>264</v>
      </c>
      <c r="D14" t="s">
        <v>264</v>
      </c>
      <c r="E14" s="5">
        <f t="shared" si="2"/>
        <v>540</v>
      </c>
      <c r="F14" s="10">
        <v>4420</v>
      </c>
      <c r="G14" s="30" t="s">
        <v>278</v>
      </c>
      <c r="H14" s="136">
        <f t="shared" si="0"/>
        <v>4</v>
      </c>
      <c r="I14" s="30">
        <f t="shared" si="1"/>
        <v>9547200</v>
      </c>
    </row>
    <row r="15" spans="1:9" x14ac:dyDescent="0.2">
      <c r="A15" t="s">
        <v>290</v>
      </c>
      <c r="B15" s="5">
        <v>1320</v>
      </c>
      <c r="C15" t="s">
        <v>291</v>
      </c>
      <c r="D15" t="s">
        <v>292</v>
      </c>
      <c r="E15" s="5">
        <f>B15*0.251</f>
        <v>331.32</v>
      </c>
      <c r="F15" s="10">
        <v>3454</v>
      </c>
      <c r="G15" s="30" t="s">
        <v>278</v>
      </c>
      <c r="H15" s="136">
        <f t="shared" si="0"/>
        <v>4</v>
      </c>
      <c r="I15" s="30">
        <f t="shared" si="1"/>
        <v>4577517.12</v>
      </c>
    </row>
    <row r="16" spans="1:9" x14ac:dyDescent="0.2">
      <c r="A16" t="s">
        <v>293</v>
      </c>
      <c r="B16" s="5">
        <v>360</v>
      </c>
      <c r="C16" t="s">
        <v>294</v>
      </c>
      <c r="D16" t="s">
        <v>264</v>
      </c>
      <c r="E16" s="5">
        <v>3</v>
      </c>
      <c r="F16" s="10">
        <v>21600</v>
      </c>
      <c r="G16" s="30" t="s">
        <v>278</v>
      </c>
      <c r="H16" s="136">
        <f t="shared" si="0"/>
        <v>4</v>
      </c>
      <c r="I16" s="30">
        <f t="shared" si="1"/>
        <v>259200</v>
      </c>
    </row>
    <row r="17" spans="1:12" x14ac:dyDescent="0.2">
      <c r="B17" s="46" t="s">
        <v>252</v>
      </c>
      <c r="E17" s="5"/>
      <c r="F17" s="10"/>
      <c r="G17" s="30"/>
      <c r="H17" s="30"/>
      <c r="I17" s="30"/>
    </row>
    <row r="18" spans="1:12" x14ac:dyDescent="0.2">
      <c r="A18" t="s">
        <v>295</v>
      </c>
      <c r="B18" s="5">
        <v>1860</v>
      </c>
      <c r="C18" t="s">
        <v>296</v>
      </c>
      <c r="D18" t="s">
        <v>297</v>
      </c>
      <c r="E18" s="5">
        <f>B18*45/2000</f>
        <v>41.85</v>
      </c>
      <c r="F18" s="10">
        <v>1540</v>
      </c>
      <c r="G18" s="30" t="s">
        <v>278</v>
      </c>
      <c r="H18" s="136">
        <f t="shared" ref="H18:H20" si="3" xml:space="preserve"> 60/15</f>
        <v>4</v>
      </c>
      <c r="I18" s="30">
        <f t="shared" ref="I18:I20" si="4">E18*F18*H18</f>
        <v>257796</v>
      </c>
    </row>
    <row r="19" spans="1:12" x14ac:dyDescent="0.2">
      <c r="A19" t="s">
        <v>282</v>
      </c>
      <c r="B19" s="5">
        <v>192</v>
      </c>
      <c r="C19" t="s">
        <v>296</v>
      </c>
      <c r="D19" t="s">
        <v>297</v>
      </c>
      <c r="E19" s="5">
        <f>B19*45/2000</f>
        <v>4.32</v>
      </c>
      <c r="F19" s="10">
        <v>1540</v>
      </c>
      <c r="G19" s="30" t="s">
        <v>278</v>
      </c>
      <c r="H19" s="136">
        <f t="shared" si="3"/>
        <v>4</v>
      </c>
      <c r="I19" s="30">
        <f t="shared" si="4"/>
        <v>26611.200000000001</v>
      </c>
    </row>
    <row r="20" spans="1:12" x14ac:dyDescent="0.2">
      <c r="A20" t="s">
        <v>282</v>
      </c>
      <c r="B20" s="5">
        <v>384</v>
      </c>
      <c r="C20" t="s">
        <v>296</v>
      </c>
      <c r="D20" t="s">
        <v>297</v>
      </c>
      <c r="E20" s="5">
        <f>B20*45/2000</f>
        <v>8.64</v>
      </c>
      <c r="F20" s="10">
        <v>1540</v>
      </c>
      <c r="G20" s="30" t="s">
        <v>278</v>
      </c>
      <c r="H20" s="136">
        <f t="shared" si="3"/>
        <v>4</v>
      </c>
      <c r="I20" s="30">
        <f t="shared" si="4"/>
        <v>53222.400000000001</v>
      </c>
    </row>
    <row r="22" spans="1:12" x14ac:dyDescent="0.2">
      <c r="A22" t="s">
        <v>298</v>
      </c>
      <c r="B22">
        <v>15</v>
      </c>
      <c r="C22" t="s">
        <v>264</v>
      </c>
      <c r="D22" t="s">
        <v>299</v>
      </c>
      <c r="E22">
        <v>1</v>
      </c>
      <c r="F22" s="2">
        <v>477528.75</v>
      </c>
      <c r="G22" s="30" t="s">
        <v>170</v>
      </c>
      <c r="H22" s="136">
        <f t="shared" ref="H22:H26" si="5" xml:space="preserve"> 60/15</f>
        <v>4</v>
      </c>
      <c r="I22" s="30">
        <f>E22*F22*H22</f>
        <v>1910115</v>
      </c>
      <c r="L22" s="30"/>
    </row>
    <row r="23" spans="1:12" x14ac:dyDescent="0.2">
      <c r="A23" t="s">
        <v>300</v>
      </c>
      <c r="B23">
        <v>15</v>
      </c>
      <c r="C23" t="s">
        <v>264</v>
      </c>
      <c r="D23" t="s">
        <v>264</v>
      </c>
      <c r="E23" s="5">
        <f>B23</f>
        <v>15</v>
      </c>
      <c r="F23" s="10">
        <v>2666.67</v>
      </c>
      <c r="G23" s="30" t="s">
        <v>170</v>
      </c>
      <c r="H23" s="136">
        <f t="shared" si="5"/>
        <v>4</v>
      </c>
      <c r="I23" s="30">
        <f t="shared" ref="I23:I26" si="6">E23*F23*H23</f>
        <v>160000.20000000001</v>
      </c>
    </row>
    <row r="24" spans="1:12" x14ac:dyDescent="0.2">
      <c r="A24" t="s">
        <v>301</v>
      </c>
      <c r="C24" t="s">
        <v>302</v>
      </c>
      <c r="D24" t="s">
        <v>303</v>
      </c>
      <c r="E24">
        <v>1</v>
      </c>
      <c r="F24" s="10">
        <v>40000</v>
      </c>
      <c r="H24" s="136">
        <f t="shared" si="5"/>
        <v>4</v>
      </c>
      <c r="I24" s="30">
        <f>E24*F24*H24</f>
        <v>160000</v>
      </c>
    </row>
    <row r="25" spans="1:12" x14ac:dyDescent="0.2">
      <c r="A25" t="s">
        <v>304</v>
      </c>
      <c r="B25" s="5">
        <v>6664</v>
      </c>
      <c r="C25" t="s">
        <v>305</v>
      </c>
      <c r="D25" t="s">
        <v>292</v>
      </c>
      <c r="E25" s="5">
        <f>B25</f>
        <v>6664</v>
      </c>
      <c r="F25" s="10">
        <v>10</v>
      </c>
      <c r="G25" s="30" t="s">
        <v>170</v>
      </c>
      <c r="H25" s="136">
        <f t="shared" si="5"/>
        <v>4</v>
      </c>
      <c r="I25" s="30">
        <f t="shared" si="6"/>
        <v>266560</v>
      </c>
    </row>
    <row r="26" spans="1:12" x14ac:dyDescent="0.2">
      <c r="A26" t="s">
        <v>306</v>
      </c>
      <c r="B26">
        <v>680</v>
      </c>
      <c r="E26" s="5">
        <f>B26</f>
        <v>680</v>
      </c>
      <c r="F26" s="10">
        <v>100</v>
      </c>
      <c r="G26" s="30" t="s">
        <v>170</v>
      </c>
      <c r="H26" s="136">
        <f t="shared" si="5"/>
        <v>4</v>
      </c>
      <c r="I26" s="30">
        <f t="shared" si="6"/>
        <v>272000</v>
      </c>
    </row>
    <row r="27" spans="1:12" x14ac:dyDescent="0.2">
      <c r="I27" s="30"/>
    </row>
    <row r="28" spans="1:12" s="1" customFormat="1" x14ac:dyDescent="0.2">
      <c r="A28" s="1" t="s">
        <v>307</v>
      </c>
      <c r="E28" s="13">
        <f>SUM(E3:E20)</f>
        <v>1595.6049999999998</v>
      </c>
      <c r="I28" s="28">
        <f>SUM(I3:I26)</f>
        <v>26869167.919999998</v>
      </c>
    </row>
    <row r="30" spans="1:12" x14ac:dyDescent="0.2">
      <c r="A30" t="s">
        <v>209</v>
      </c>
      <c r="B30">
        <v>31</v>
      </c>
      <c r="C30" t="s">
        <v>264</v>
      </c>
      <c r="D30" t="s">
        <v>264</v>
      </c>
      <c r="E30">
        <v>8</v>
      </c>
      <c r="F30" s="10">
        <v>4420</v>
      </c>
      <c r="G30" s="30" t="s">
        <v>278</v>
      </c>
      <c r="H30" s="30"/>
      <c r="I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313</v>
      </c>
      <c r="B1" s="1" t="s">
        <v>244</v>
      </c>
      <c r="C1" s="1" t="s">
        <v>107</v>
      </c>
    </row>
    <row r="2" spans="1:8" x14ac:dyDescent="0.2">
      <c r="C2" s="43"/>
      <c r="D2" s="43"/>
    </row>
    <row r="3" spans="1:8" x14ac:dyDescent="0.2">
      <c r="A3" t="s">
        <v>314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315</v>
      </c>
      <c r="B4" s="5">
        <v>30</v>
      </c>
      <c r="C4" s="5" t="s">
        <v>316</v>
      </c>
      <c r="E4" s="7"/>
      <c r="F4" s="4"/>
      <c r="G4" s="3"/>
      <c r="H4" s="11"/>
    </row>
    <row r="5" spans="1:8" x14ac:dyDescent="0.2">
      <c r="A5" t="s">
        <v>317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318</v>
      </c>
      <c r="B6" s="5">
        <f xml:space="preserve"> B3/15 *31578</f>
        <v>31578</v>
      </c>
      <c r="C6" s="5" t="s">
        <v>319</v>
      </c>
      <c r="E6" s="7"/>
      <c r="F6" s="4"/>
      <c r="G6" s="3"/>
      <c r="H6" s="11"/>
    </row>
    <row r="7" spans="1:8" x14ac:dyDescent="0.2">
      <c r="A7" t="s">
        <v>320</v>
      </c>
      <c r="B7" s="5">
        <v>12</v>
      </c>
      <c r="C7" s="5" t="s">
        <v>316</v>
      </c>
      <c r="E7" s="7"/>
      <c r="F7" s="4"/>
      <c r="G7" s="3"/>
      <c r="H7" s="11"/>
    </row>
    <row r="8" spans="1:8" x14ac:dyDescent="0.2">
      <c r="A8" t="s">
        <v>321</v>
      </c>
      <c r="B8" s="5">
        <v>40</v>
      </c>
      <c r="C8" s="5" t="s">
        <v>316</v>
      </c>
      <c r="E8" s="7"/>
      <c r="F8" s="4"/>
      <c r="G8" s="3"/>
      <c r="H8" s="11"/>
    </row>
    <row r="9" spans="1:8" x14ac:dyDescent="0.2">
      <c r="A9" t="s">
        <v>322</v>
      </c>
      <c r="B9" s="5">
        <v>13</v>
      </c>
      <c r="C9" s="5" t="s">
        <v>316</v>
      </c>
      <c r="E9" s="7"/>
      <c r="F9" s="4"/>
      <c r="G9" s="3"/>
      <c r="H9" s="11"/>
    </row>
    <row r="10" spans="1:8" x14ac:dyDescent="0.2">
      <c r="A10" s="6" t="s">
        <v>323</v>
      </c>
      <c r="B10" s="5">
        <v>18</v>
      </c>
      <c r="C10" s="5" t="s">
        <v>316</v>
      </c>
      <c r="E10" s="7"/>
      <c r="F10" s="4"/>
      <c r="G10" s="44"/>
      <c r="H10" s="44"/>
    </row>
    <row r="11" spans="1:8" ht="14.25" x14ac:dyDescent="0.2">
      <c r="A11" s="6" t="s">
        <v>324</v>
      </c>
      <c r="B11" s="5">
        <v>120</v>
      </c>
      <c r="C11" s="5" t="s">
        <v>319</v>
      </c>
      <c r="E11" s="7"/>
      <c r="F11" s="4"/>
      <c r="G11" s="5"/>
      <c r="H11" s="13"/>
    </row>
    <row r="12" spans="1:8" x14ac:dyDescent="0.2">
      <c r="A12" t="s">
        <v>325</v>
      </c>
      <c r="B12" s="5">
        <v>3</v>
      </c>
      <c r="C12" t="s">
        <v>326</v>
      </c>
    </row>
    <row r="13" spans="1:8" x14ac:dyDescent="0.2">
      <c r="H13" s="5"/>
    </row>
    <row r="14" spans="1:8" x14ac:dyDescent="0.2">
      <c r="A14" t="s">
        <v>327</v>
      </c>
      <c r="H14" s="5"/>
    </row>
    <row r="15" spans="1:8" x14ac:dyDescent="0.2">
      <c r="A15" t="s">
        <v>328</v>
      </c>
      <c r="H15" s="5"/>
    </row>
    <row r="16" spans="1:8" x14ac:dyDescent="0.2">
      <c r="A16" t="s">
        <v>329</v>
      </c>
      <c r="B16" t="s">
        <v>299</v>
      </c>
      <c r="C16" t="s">
        <v>330</v>
      </c>
    </row>
    <row r="17" spans="1:3" x14ac:dyDescent="0.2">
      <c r="A17" t="s">
        <v>331</v>
      </c>
      <c r="B17" t="s">
        <v>332</v>
      </c>
      <c r="C17" t="s">
        <v>333</v>
      </c>
    </row>
    <row r="19" spans="1:3" x14ac:dyDescent="0.2">
      <c r="A19" s="1" t="s">
        <v>334</v>
      </c>
    </row>
    <row r="20" spans="1:3" x14ac:dyDescent="0.2">
      <c r="A20" t="s">
        <v>335</v>
      </c>
      <c r="B20" s="5">
        <v>1</v>
      </c>
      <c r="C20" s="5"/>
    </row>
    <row r="21" spans="1:3" x14ac:dyDescent="0.2">
      <c r="A21" t="s">
        <v>315</v>
      </c>
      <c r="B21" s="5">
        <v>30</v>
      </c>
      <c r="C21" s="5" t="s">
        <v>316</v>
      </c>
    </row>
    <row r="22" spans="1:3" x14ac:dyDescent="0.2">
      <c r="A22" t="s">
        <v>336</v>
      </c>
      <c r="B22" s="5">
        <f>3*1340</f>
        <v>4020</v>
      </c>
      <c r="C22" s="5"/>
    </row>
    <row r="23" spans="1:3" ht="14.25" x14ac:dyDescent="0.2">
      <c r="A23" t="s">
        <v>337</v>
      </c>
      <c r="B23" s="5">
        <f>B22*B21*PI()*B28/2*B28/2</f>
        <v>94719.018505732267</v>
      </c>
      <c r="C23" s="5" t="s">
        <v>319</v>
      </c>
    </row>
    <row r="24" spans="1:3" x14ac:dyDescent="0.2">
      <c r="A24" t="s">
        <v>320</v>
      </c>
      <c r="B24" s="5">
        <v>12</v>
      </c>
      <c r="C24" s="5" t="s">
        <v>316</v>
      </c>
    </row>
    <row r="25" spans="1:3" x14ac:dyDescent="0.2">
      <c r="A25" t="s">
        <v>321</v>
      </c>
      <c r="B25" s="5">
        <v>70</v>
      </c>
      <c r="C25" s="5" t="s">
        <v>316</v>
      </c>
    </row>
    <row r="26" spans="1:3" x14ac:dyDescent="0.2">
      <c r="A26" t="s">
        <v>322</v>
      </c>
      <c r="B26" s="5">
        <v>13</v>
      </c>
      <c r="C26" s="5" t="s">
        <v>316</v>
      </c>
    </row>
    <row r="27" spans="1:3" x14ac:dyDescent="0.2">
      <c r="A27" s="6" t="s">
        <v>338</v>
      </c>
      <c r="B27" s="5">
        <v>13</v>
      </c>
      <c r="C27" s="5" t="s">
        <v>316</v>
      </c>
    </row>
    <row r="28" spans="1:3" x14ac:dyDescent="0.2">
      <c r="A28" t="s">
        <v>325</v>
      </c>
      <c r="B28" s="5">
        <v>1</v>
      </c>
      <c r="C28" t="s">
        <v>240</v>
      </c>
    </row>
    <row r="30" spans="1:3" x14ac:dyDescent="0.2">
      <c r="A30" t="s">
        <v>339</v>
      </c>
      <c r="B30" t="s">
        <v>299</v>
      </c>
      <c r="C30" t="s">
        <v>340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110" zoomScaleNormal="110" workbookViewId="0">
      <selection activeCell="G3" sqref="G3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38.285156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548</v>
      </c>
      <c r="B1" s="1" t="s">
        <v>244</v>
      </c>
      <c r="C1" s="1" t="s">
        <v>107</v>
      </c>
    </row>
    <row r="2" spans="1:8" x14ac:dyDescent="0.2">
      <c r="A2" s="1" t="s">
        <v>547</v>
      </c>
      <c r="C2" s="43"/>
      <c r="D2" s="43"/>
    </row>
    <row r="3" spans="1:8" x14ac:dyDescent="0.2">
      <c r="A3" t="s">
        <v>342</v>
      </c>
      <c r="B3" s="5">
        <v>5</v>
      </c>
      <c r="C3" s="5" t="s">
        <v>343</v>
      </c>
      <c r="E3" s="7"/>
      <c r="F3" s="4"/>
      <c r="G3" s="3"/>
      <c r="H3" s="11"/>
    </row>
    <row r="4" spans="1:8" x14ac:dyDescent="0.2">
      <c r="A4" t="s">
        <v>344</v>
      </c>
      <c r="B4" s="5">
        <v>3</v>
      </c>
      <c r="C4" s="5" t="s">
        <v>345</v>
      </c>
      <c r="E4" s="7"/>
      <c r="F4" s="4"/>
      <c r="G4" s="3"/>
      <c r="H4" s="11"/>
    </row>
    <row r="5" spans="1:8" x14ac:dyDescent="0.2">
      <c r="A5" t="s">
        <v>346</v>
      </c>
      <c r="B5" s="5">
        <v>15</v>
      </c>
      <c r="C5" s="5" t="s">
        <v>347</v>
      </c>
      <c r="E5" s="7"/>
      <c r="F5" s="4"/>
      <c r="G5" s="3"/>
      <c r="H5" s="11"/>
    </row>
    <row r="6" spans="1:8" x14ac:dyDescent="0.2">
      <c r="A6" t="s">
        <v>315</v>
      </c>
      <c r="B6" s="5">
        <v>10</v>
      </c>
      <c r="C6" s="5" t="s">
        <v>316</v>
      </c>
      <c r="E6" s="7"/>
      <c r="F6" s="4"/>
      <c r="G6" s="3"/>
      <c r="H6" s="11"/>
    </row>
    <row r="7" spans="1:8" x14ac:dyDescent="0.2">
      <c r="A7" t="s">
        <v>317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318</v>
      </c>
      <c r="B8" s="5">
        <f>31578 * 10/30*B4</f>
        <v>31578</v>
      </c>
      <c r="C8" s="5" t="s">
        <v>319</v>
      </c>
      <c r="E8" s="7"/>
      <c r="F8" s="4"/>
      <c r="G8" s="3"/>
      <c r="H8" s="11"/>
    </row>
    <row r="9" spans="1:8" x14ac:dyDescent="0.2">
      <c r="A9" t="s">
        <v>320</v>
      </c>
      <c r="B9" s="5">
        <v>12</v>
      </c>
      <c r="C9" s="5" t="s">
        <v>316</v>
      </c>
      <c r="E9" s="7"/>
      <c r="F9" s="4"/>
      <c r="G9" s="3"/>
      <c r="H9" s="11"/>
    </row>
    <row r="10" spans="1:8" x14ac:dyDescent="0.2">
      <c r="A10" t="s">
        <v>348</v>
      </c>
      <c r="B10" s="5">
        <v>70</v>
      </c>
      <c r="C10" s="5" t="s">
        <v>316</v>
      </c>
      <c r="E10" s="7"/>
      <c r="F10" s="4"/>
      <c r="G10" s="3"/>
      <c r="H10" s="11"/>
    </row>
    <row r="11" spans="1:8" x14ac:dyDescent="0.2">
      <c r="A11" t="s">
        <v>349</v>
      </c>
      <c r="B11" s="5">
        <v>13</v>
      </c>
      <c r="C11" s="5" t="s">
        <v>316</v>
      </c>
      <c r="E11" s="7"/>
      <c r="F11" s="4"/>
      <c r="G11" s="3"/>
      <c r="H11" s="11"/>
    </row>
    <row r="12" spans="1:8" x14ac:dyDescent="0.2">
      <c r="A12" s="6" t="s">
        <v>338</v>
      </c>
      <c r="B12" s="5">
        <v>54</v>
      </c>
      <c r="C12" s="5" t="s">
        <v>316</v>
      </c>
      <c r="E12" s="7"/>
      <c r="F12" s="4"/>
      <c r="G12" s="44"/>
      <c r="H12" s="44"/>
    </row>
    <row r="13" spans="1:8" ht="14.25" x14ac:dyDescent="0.2">
      <c r="A13" s="6" t="s">
        <v>324</v>
      </c>
      <c r="B13" s="5">
        <f>B4*120</f>
        <v>360</v>
      </c>
      <c r="C13" s="5" t="s">
        <v>319</v>
      </c>
      <c r="E13" s="7"/>
      <c r="F13" s="4"/>
      <c r="G13" s="5"/>
      <c r="H13" s="13"/>
    </row>
    <row r="14" spans="1:8" x14ac:dyDescent="0.2">
      <c r="A14" t="s">
        <v>325</v>
      </c>
      <c r="B14" s="5">
        <v>3</v>
      </c>
      <c r="C14" t="s">
        <v>326</v>
      </c>
    </row>
    <row r="15" spans="1:8" x14ac:dyDescent="0.2">
      <c r="H15" s="5"/>
    </row>
    <row r="16" spans="1:8" x14ac:dyDescent="0.2">
      <c r="A16" t="s">
        <v>329</v>
      </c>
      <c r="B16" t="s">
        <v>299</v>
      </c>
      <c r="C16" t="s">
        <v>549</v>
      </c>
    </row>
    <row r="17" spans="1:3" x14ac:dyDescent="0.2">
      <c r="A17" t="s">
        <v>331</v>
      </c>
      <c r="B17" t="s">
        <v>332</v>
      </c>
      <c r="C17" t="s">
        <v>550</v>
      </c>
    </row>
    <row r="18" spans="1:3" x14ac:dyDescent="0.2">
      <c r="C18" t="s">
        <v>551</v>
      </c>
    </row>
    <row r="19" spans="1:3" x14ac:dyDescent="0.2">
      <c r="A19" s="1" t="s">
        <v>351</v>
      </c>
    </row>
    <row r="20" spans="1:3" x14ac:dyDescent="0.2">
      <c r="A20" t="s">
        <v>335</v>
      </c>
      <c r="B20" s="5">
        <v>2</v>
      </c>
      <c r="C20" s="5"/>
    </row>
    <row r="21" spans="1:3" x14ac:dyDescent="0.2">
      <c r="A21" t="s">
        <v>352</v>
      </c>
      <c r="B21" s="5">
        <v>60</v>
      </c>
      <c r="C21" s="5" t="s">
        <v>316</v>
      </c>
    </row>
    <row r="22" spans="1:3" x14ac:dyDescent="0.2">
      <c r="A22" t="s">
        <v>336</v>
      </c>
      <c r="B22" s="5">
        <v>1340</v>
      </c>
      <c r="C22" s="5"/>
    </row>
    <row r="23" spans="1:3" ht="14.25" x14ac:dyDescent="0.2">
      <c r="A23" t="s">
        <v>353</v>
      </c>
      <c r="B23" s="5">
        <f>B21*B22*PI()*B28/2*B28/2</f>
        <v>63146.01233715484</v>
      </c>
      <c r="C23" s="5" t="s">
        <v>319</v>
      </c>
    </row>
    <row r="24" spans="1:3" x14ac:dyDescent="0.2">
      <c r="A24" t="s">
        <v>320</v>
      </c>
      <c r="B24" s="5">
        <v>12</v>
      </c>
      <c r="C24" s="5" t="s">
        <v>316</v>
      </c>
    </row>
    <row r="25" spans="1:3" x14ac:dyDescent="0.2">
      <c r="A25" t="s">
        <v>348</v>
      </c>
      <c r="B25" s="5">
        <v>70</v>
      </c>
      <c r="C25" s="5" t="s">
        <v>316</v>
      </c>
    </row>
    <row r="26" spans="1:3" x14ac:dyDescent="0.2">
      <c r="A26" t="s">
        <v>349</v>
      </c>
      <c r="B26" s="5">
        <v>13</v>
      </c>
      <c r="C26" s="5" t="s">
        <v>316</v>
      </c>
    </row>
    <row r="27" spans="1:3" x14ac:dyDescent="0.2">
      <c r="A27" s="6" t="s">
        <v>338</v>
      </c>
      <c r="B27" s="5">
        <v>54</v>
      </c>
      <c r="C27" s="5" t="s">
        <v>316</v>
      </c>
    </row>
    <row r="28" spans="1:3" x14ac:dyDescent="0.2">
      <c r="A28" t="s">
        <v>325</v>
      </c>
      <c r="B28" s="5">
        <v>1</v>
      </c>
      <c r="C28" t="s">
        <v>240</v>
      </c>
    </row>
    <row r="30" spans="1:3" x14ac:dyDescent="0.2">
      <c r="A30" t="s">
        <v>354</v>
      </c>
      <c r="B30" t="s">
        <v>299</v>
      </c>
      <c r="C30" t="s">
        <v>340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E35"/>
  <sheetViews>
    <sheetView topLeftCell="A3" zoomScale="110" zoomScaleNormal="110" workbookViewId="0">
      <selection activeCell="B20" sqref="B20"/>
    </sheetView>
  </sheetViews>
  <sheetFormatPr defaultColWidth="11.5703125" defaultRowHeight="12.75" x14ac:dyDescent="0.2"/>
  <cols>
    <col min="1" max="1" width="25.140625" customWidth="1"/>
    <col min="2" max="2" width="17.42578125" customWidth="1"/>
  </cols>
  <sheetData>
    <row r="1" spans="1:5" x14ac:dyDescent="0.2">
      <c r="A1" s="1" t="s">
        <v>546</v>
      </c>
      <c r="B1" s="1" t="s">
        <v>106</v>
      </c>
      <c r="C1" s="1" t="s">
        <v>107</v>
      </c>
    </row>
    <row r="2" spans="1:5" x14ac:dyDescent="0.2">
      <c r="A2" s="1" t="s">
        <v>545</v>
      </c>
      <c r="B2" s="1"/>
    </row>
    <row r="3" spans="1:5" x14ac:dyDescent="0.2">
      <c r="A3" s="1" t="s">
        <v>169</v>
      </c>
      <c r="B3" s="30">
        <f>'5MGD 15 Effect VTE Capital Cost'!B33</f>
        <v>25369589.325787447</v>
      </c>
      <c r="C3" t="s">
        <v>170</v>
      </c>
    </row>
    <row r="4" spans="1:5" x14ac:dyDescent="0.2">
      <c r="A4" t="s">
        <v>111</v>
      </c>
      <c r="B4">
        <v>30</v>
      </c>
      <c r="C4" t="s">
        <v>112</v>
      </c>
    </row>
    <row r="5" spans="1:5" x14ac:dyDescent="0.2">
      <c r="A5" t="s">
        <v>113</v>
      </c>
      <c r="B5" s="31">
        <v>0.08</v>
      </c>
      <c r="C5" t="s">
        <v>114</v>
      </c>
    </row>
    <row r="6" spans="1:5" x14ac:dyDescent="0.2">
      <c r="A6" t="s">
        <v>115</v>
      </c>
      <c r="B6" s="35">
        <f>B4*12*($B5/12*$B$3)/(1-POWER($B$5/12+1,-$B$4*12))</f>
        <v>67015101.244072445</v>
      </c>
    </row>
    <row r="7" spans="1:5" x14ac:dyDescent="0.2">
      <c r="A7" s="1" t="s">
        <v>116</v>
      </c>
      <c r="B7" s="12">
        <f>B6/B4</f>
        <v>2233836.7081357483</v>
      </c>
      <c r="D7" s="86">
        <f>B7/(B$8*365*B$12/264.172)</f>
        <v>0.3403703595452845</v>
      </c>
    </row>
    <row r="8" spans="1:5" ht="14.25" x14ac:dyDescent="0.2">
      <c r="A8" t="s">
        <v>198</v>
      </c>
      <c r="B8" s="32">
        <v>5000000</v>
      </c>
      <c r="C8" t="s">
        <v>128</v>
      </c>
      <c r="D8" s="11">
        <f xml:space="preserve"> B8/264.172</f>
        <v>18927.062671289914</v>
      </c>
      <c r="E8" t="s">
        <v>521</v>
      </c>
    </row>
    <row r="9" spans="1:5" x14ac:dyDescent="0.2">
      <c r="A9" t="s">
        <v>199</v>
      </c>
      <c r="B9" s="41">
        <v>6.02</v>
      </c>
    </row>
    <row r="10" spans="1:5" x14ac:dyDescent="0.2">
      <c r="A10" t="s">
        <v>200</v>
      </c>
      <c r="B10" s="32">
        <f>B8/B9</f>
        <v>830564.78405315615</v>
      </c>
      <c r="C10" t="s">
        <v>128</v>
      </c>
    </row>
    <row r="11" spans="1:5" x14ac:dyDescent="0.2">
      <c r="A11" t="s">
        <v>173</v>
      </c>
      <c r="B11" s="33">
        <f>B8/(B8+B10)</f>
        <v>0.85754985754985757</v>
      </c>
    </row>
    <row r="12" spans="1:5" x14ac:dyDescent="0.2">
      <c r="A12" t="s">
        <v>130</v>
      </c>
      <c r="B12" s="4">
        <v>0.95</v>
      </c>
    </row>
    <row r="13" spans="1:5" x14ac:dyDescent="0.2">
      <c r="A13" s="6" t="s">
        <v>131</v>
      </c>
      <c r="B13" s="2">
        <f>B3/B8</f>
        <v>5.0739178651574894</v>
      </c>
    </row>
    <row r="14" spans="1:5" x14ac:dyDescent="0.2">
      <c r="A14" s="1" t="s">
        <v>133</v>
      </c>
      <c r="B14" s="2"/>
    </row>
    <row r="15" spans="1:5" x14ac:dyDescent="0.2">
      <c r="A15" t="s">
        <v>181</v>
      </c>
      <c r="B15" s="32">
        <f>'5MGD 15 Effect Pump Specs kW'!H11*24</f>
        <v>15296.485294775601</v>
      </c>
      <c r="C15" t="s">
        <v>182</v>
      </c>
    </row>
    <row r="16" spans="1:5" x14ac:dyDescent="0.2">
      <c r="A16" t="s">
        <v>151</v>
      </c>
      <c r="B16" s="38">
        <f>'Energy Cost Rates'!F23</f>
        <v>8.5000000000000006E-2</v>
      </c>
      <c r="C16" t="s">
        <v>183</v>
      </c>
    </row>
    <row r="17" spans="1:4" x14ac:dyDescent="0.2">
      <c r="A17" t="s">
        <v>153</v>
      </c>
      <c r="B17" s="35">
        <f>B15*B16*365*B12</f>
        <v>450844.78345689242</v>
      </c>
      <c r="C17" t="s">
        <v>114</v>
      </c>
    </row>
    <row r="18" spans="1:4" x14ac:dyDescent="0.2">
      <c r="A18" t="s">
        <v>202</v>
      </c>
      <c r="B18" s="32">
        <v>120000</v>
      </c>
      <c r="C18" t="s">
        <v>203</v>
      </c>
    </row>
    <row r="19" spans="1:4" x14ac:dyDescent="0.2">
      <c r="A19" t="s">
        <v>204</v>
      </c>
      <c r="B19" s="36">
        <v>4.4999999999999997E-3</v>
      </c>
      <c r="C19" t="s">
        <v>205</v>
      </c>
      <c r="D19" s="36">
        <f>'Energy Cost Rates'!F21</f>
        <v>4.4999999999999997E-3</v>
      </c>
    </row>
    <row r="20" spans="1:4" x14ac:dyDescent="0.2">
      <c r="A20" t="s">
        <v>206</v>
      </c>
      <c r="B20" s="35">
        <f>B18*B19*24*365*B12</f>
        <v>4493880</v>
      </c>
      <c r="C20" t="s">
        <v>114</v>
      </c>
    </row>
    <row r="21" spans="1:4" x14ac:dyDescent="0.2">
      <c r="A21" s="1" t="s">
        <v>154</v>
      </c>
      <c r="B21" s="12">
        <f>SUM(B$17,B$20)</f>
        <v>4944724.7834568927</v>
      </c>
    </row>
    <row r="22" spans="1:4" x14ac:dyDescent="0.2">
      <c r="A22" t="s">
        <v>201</v>
      </c>
      <c r="B22" s="35">
        <f>0.51/1000*$B$8*365</f>
        <v>930750</v>
      </c>
      <c r="C22" t="s">
        <v>114</v>
      </c>
    </row>
    <row r="23" spans="1:4" x14ac:dyDescent="0.2">
      <c r="A23" t="s">
        <v>175</v>
      </c>
      <c r="B23" s="35">
        <f>0.06/1000*$B$8*365</f>
        <v>109500</v>
      </c>
      <c r="C23" t="s">
        <v>114</v>
      </c>
    </row>
    <row r="24" spans="1:4" x14ac:dyDescent="0.2">
      <c r="A24" t="s">
        <v>180</v>
      </c>
      <c r="B24" s="35">
        <f>0.02/1000*$B$8*365</f>
        <v>36500.000000000007</v>
      </c>
      <c r="C24" t="s">
        <v>114</v>
      </c>
    </row>
    <row r="25" spans="1:4" x14ac:dyDescent="0.2">
      <c r="A25" s="1" t="s">
        <v>140</v>
      </c>
      <c r="B25" s="12">
        <f>SUM(B$21,B$22:B$24)</f>
        <v>6021474.7834568927</v>
      </c>
    </row>
    <row r="26" spans="1:4" x14ac:dyDescent="0.2">
      <c r="A26" s="1" t="s">
        <v>155</v>
      </c>
      <c r="B26" s="12">
        <f>SUM(B$7,B$21,B$22:B$24)</f>
        <v>8255311.491592641</v>
      </c>
    </row>
    <row r="28" spans="1:4" x14ac:dyDescent="0.2">
      <c r="A28" s="1" t="s">
        <v>207</v>
      </c>
      <c r="B28" s="12">
        <f>B26/(B8*365*B12/1000)</f>
        <v>4.7615351069027492</v>
      </c>
      <c r="C28" t="s">
        <v>185</v>
      </c>
    </row>
    <row r="29" spans="1:4" ht="14.25" x14ac:dyDescent="0.2">
      <c r="A29" s="1" t="s">
        <v>207</v>
      </c>
      <c r="B29" s="12">
        <f>B26/(B8*365*B12/264.172)</f>
        <v>1.2578642522607133</v>
      </c>
      <c r="C29" t="s">
        <v>522</v>
      </c>
    </row>
    <row r="30" spans="1:4" x14ac:dyDescent="0.2">
      <c r="A30" s="1" t="s">
        <v>207</v>
      </c>
      <c r="B30" s="12">
        <f>B$26/(B$8*365*B$12/325853.383688)</f>
        <v>1551.5623261334633</v>
      </c>
      <c r="C30" t="s">
        <v>186</v>
      </c>
    </row>
    <row r="32" spans="1:4" x14ac:dyDescent="0.2">
      <c r="A32" t="s">
        <v>208</v>
      </c>
      <c r="B32" s="32">
        <f>(B$8*365*B$12/325853.383688)</f>
        <v>5320.6444578769242</v>
      </c>
      <c r="C32" t="s">
        <v>190</v>
      </c>
    </row>
    <row r="33" spans="1:3" x14ac:dyDescent="0.2">
      <c r="A33" s="6" t="s">
        <v>525</v>
      </c>
      <c r="B33" s="32">
        <v>970</v>
      </c>
      <c r="C33" t="s">
        <v>72</v>
      </c>
    </row>
    <row r="34" spans="1:3" ht="19.5" customHeight="1" x14ac:dyDescent="0.3">
      <c r="A34" s="6" t="s">
        <v>540</v>
      </c>
      <c r="B34" s="98">
        <f xml:space="preserve"> 24 * B18 * B33 * 0.00029307107017 / D8</f>
        <v>43.256756520852925</v>
      </c>
      <c r="C34" t="s">
        <v>524</v>
      </c>
    </row>
    <row r="35" spans="1:3" ht="14.25" x14ac:dyDescent="0.2">
      <c r="A35" s="6" t="s">
        <v>535</v>
      </c>
      <c r="B35" s="8">
        <f>B15/B8 *264.172</f>
        <v>0.80818062265829205</v>
      </c>
      <c r="C35" t="s">
        <v>536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C33"/>
  <sheetViews>
    <sheetView zoomScale="110" zoomScaleNormal="110" workbookViewId="0">
      <selection sqref="A1:B33"/>
    </sheetView>
  </sheetViews>
  <sheetFormatPr defaultColWidth="11.85546875" defaultRowHeight="12.75" x14ac:dyDescent="0.2"/>
  <cols>
    <col min="1" max="1" width="43.28515625" customWidth="1"/>
    <col min="2" max="2" width="11.42578125" customWidth="1"/>
  </cols>
  <sheetData>
    <row r="1" spans="1:3" x14ac:dyDescent="0.2">
      <c r="A1" s="1" t="s">
        <v>544</v>
      </c>
    </row>
    <row r="2" spans="1:3" x14ac:dyDescent="0.2">
      <c r="A2" s="1" t="s">
        <v>0</v>
      </c>
      <c r="B2" s="1" t="s">
        <v>106</v>
      </c>
    </row>
    <row r="3" spans="1:3" s="6" customFormat="1" x14ac:dyDescent="0.2">
      <c r="A3" s="6" t="s">
        <v>309</v>
      </c>
      <c r="B3" s="42">
        <f>'5MGD 15 Effect Evaporator Costs'!H28</f>
        <v>13402694.48</v>
      </c>
      <c r="C3"/>
    </row>
    <row r="4" spans="1:3" x14ac:dyDescent="0.2">
      <c r="A4" t="s">
        <v>209</v>
      </c>
      <c r="B4" s="30">
        <f>'5MGD 15 Effect Evaporator Costs'!H30</f>
        <v>35360</v>
      </c>
    </row>
    <row r="5" spans="1:3" x14ac:dyDescent="0.2">
      <c r="A5" t="s">
        <v>210</v>
      </c>
      <c r="B5" s="30">
        <f>'5 MGD 15 Effect VTE Excavation '!J4*9.5</f>
        <v>180148.14814814815</v>
      </c>
    </row>
    <row r="6" spans="1:3" x14ac:dyDescent="0.2">
      <c r="A6" t="s">
        <v>211</v>
      </c>
      <c r="B6" s="30">
        <f>'5 MGD 15 Effect VTE Excavation '!J5*9</f>
        <v>60000</v>
      </c>
    </row>
    <row r="7" spans="1:3" x14ac:dyDescent="0.2">
      <c r="A7" t="s">
        <v>212</v>
      </c>
      <c r="B7" s="30">
        <v>20000</v>
      </c>
    </row>
    <row r="8" spans="1:3" x14ac:dyDescent="0.2">
      <c r="A8" t="s">
        <v>213</v>
      </c>
      <c r="B8" s="30">
        <v>707000</v>
      </c>
    </row>
    <row r="9" spans="1:3" x14ac:dyDescent="0.2">
      <c r="A9" t="s">
        <v>214</v>
      </c>
      <c r="B9" s="30">
        <v>50000</v>
      </c>
    </row>
    <row r="10" spans="1:3" x14ac:dyDescent="0.2">
      <c r="A10" t="s">
        <v>215</v>
      </c>
      <c r="B10" s="30">
        <v>300000</v>
      </c>
    </row>
    <row r="11" spans="1:3" x14ac:dyDescent="0.2">
      <c r="A11" t="s">
        <v>216</v>
      </c>
      <c r="B11" s="30">
        <v>250000</v>
      </c>
    </row>
    <row r="12" spans="1:3" x14ac:dyDescent="0.2">
      <c r="A12" t="s">
        <v>217</v>
      </c>
      <c r="B12" s="30">
        <v>100000</v>
      </c>
    </row>
    <row r="13" spans="1:3" x14ac:dyDescent="0.2">
      <c r="A13" t="s">
        <v>218</v>
      </c>
      <c r="B13" s="30">
        <v>50000</v>
      </c>
    </row>
    <row r="14" spans="1:3" x14ac:dyDescent="0.2">
      <c r="A14" t="s">
        <v>219</v>
      </c>
      <c r="B14" s="30">
        <v>10000</v>
      </c>
    </row>
    <row r="15" spans="1:3" x14ac:dyDescent="0.2">
      <c r="A15" s="1" t="s">
        <v>220</v>
      </c>
      <c r="B15" s="28">
        <f>SUM(B3:B14)</f>
        <v>15165202.628148148</v>
      </c>
    </row>
    <row r="16" spans="1:3" x14ac:dyDescent="0.2">
      <c r="B16" s="30"/>
    </row>
    <row r="17" spans="1:2" x14ac:dyDescent="0.2">
      <c r="A17" t="s">
        <v>221</v>
      </c>
      <c r="B17" s="30">
        <f>$B$15*0.015</f>
        <v>227478.03942222221</v>
      </c>
    </row>
    <row r="18" spans="1:2" x14ac:dyDescent="0.2">
      <c r="A18" t="s">
        <v>222</v>
      </c>
      <c r="B18" s="30">
        <f>$B$15*0.005</f>
        <v>75826.013140740746</v>
      </c>
    </row>
    <row r="19" spans="1:2" x14ac:dyDescent="0.2">
      <c r="A19" t="s">
        <v>223</v>
      </c>
      <c r="B19" s="30">
        <v>167000</v>
      </c>
    </row>
    <row r="20" spans="1:2" x14ac:dyDescent="0.2">
      <c r="A20" t="s">
        <v>224</v>
      </c>
      <c r="B20" s="30">
        <f>2*367000</f>
        <v>734000</v>
      </c>
    </row>
    <row r="21" spans="1:2" x14ac:dyDescent="0.2">
      <c r="A21" s="1" t="s">
        <v>225</v>
      </c>
      <c r="B21" s="28">
        <f>SUM(B17:B20)</f>
        <v>1204304.052562963</v>
      </c>
    </row>
    <row r="22" spans="1:2" x14ac:dyDescent="0.2">
      <c r="B22" s="30"/>
    </row>
    <row r="23" spans="1:2" x14ac:dyDescent="0.2">
      <c r="A23" t="s">
        <v>226</v>
      </c>
      <c r="B23" s="30">
        <f>0.15*(B15+B21)</f>
        <v>2455426.0021066666</v>
      </c>
    </row>
    <row r="24" spans="1:2" x14ac:dyDescent="0.2">
      <c r="A24" s="1" t="s">
        <v>227</v>
      </c>
      <c r="B24" s="28">
        <f>SUM(B15,B21,B23)</f>
        <v>18824932.682817779</v>
      </c>
    </row>
    <row r="25" spans="1:2" x14ac:dyDescent="0.2">
      <c r="B25" s="30"/>
    </row>
    <row r="26" spans="1:2" x14ac:dyDescent="0.2">
      <c r="A26" t="s">
        <v>228</v>
      </c>
      <c r="B26" s="30">
        <f>B15*0.015</f>
        <v>227478.03942222221</v>
      </c>
    </row>
    <row r="27" spans="1:2" x14ac:dyDescent="0.2">
      <c r="A27" t="s">
        <v>229</v>
      </c>
      <c r="B27" s="30">
        <f>$B$24*0.05</f>
        <v>941246.63414088904</v>
      </c>
    </row>
    <row r="28" spans="1:2" x14ac:dyDescent="0.2">
      <c r="A28" t="s">
        <v>310</v>
      </c>
      <c r="B28" s="30">
        <f>$B$24*0.08</f>
        <v>1505994.6146254223</v>
      </c>
    </row>
    <row r="29" spans="1:2" s="1" customFormat="1" x14ac:dyDescent="0.2">
      <c r="A29" s="1" t="s">
        <v>230</v>
      </c>
      <c r="B29" s="28">
        <f>SUM(B24,B26:B28)</f>
        <v>21499651.971006311</v>
      </c>
    </row>
    <row r="30" spans="1:2" x14ac:dyDescent="0.2">
      <c r="B30" s="30"/>
    </row>
    <row r="31" spans="1:2" x14ac:dyDescent="0.2">
      <c r="A31" t="s">
        <v>231</v>
      </c>
      <c r="B31" s="30">
        <f>$B$29*0.08</f>
        <v>1719972.157680505</v>
      </c>
    </row>
    <row r="32" spans="1:2" x14ac:dyDescent="0.2">
      <c r="A32" t="s">
        <v>232</v>
      </c>
      <c r="B32" s="30">
        <f>$B$29*0.1</f>
        <v>2149965.1971006314</v>
      </c>
    </row>
    <row r="33" spans="1:2" x14ac:dyDescent="0.2">
      <c r="A33" s="1" t="s">
        <v>233</v>
      </c>
      <c r="B33" s="28">
        <f>SUM(B29,B31:B32)</f>
        <v>25369589.325787447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5"/>
  <sheetViews>
    <sheetView zoomScale="110" zoomScaleNormal="110" workbookViewId="0">
      <selection activeCell="A9" sqref="A9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234</v>
      </c>
      <c r="C1" s="1" t="s">
        <v>107</v>
      </c>
      <c r="D1" s="1" t="s">
        <v>235</v>
      </c>
      <c r="E1" s="1" t="s">
        <v>107</v>
      </c>
      <c r="F1" s="1" t="s">
        <v>236</v>
      </c>
      <c r="G1" s="1" t="s">
        <v>107</v>
      </c>
      <c r="H1" s="1" t="s">
        <v>237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238</v>
      </c>
      <c r="B3" s="5">
        <v>1800</v>
      </c>
      <c r="C3" t="s">
        <v>239</v>
      </c>
      <c r="D3">
        <v>4</v>
      </c>
      <c r="E3" s="5" t="s">
        <v>240</v>
      </c>
      <c r="F3" s="5">
        <f>B3*D3/12</f>
        <v>600</v>
      </c>
      <c r="G3" s="5" t="s">
        <v>241</v>
      </c>
      <c r="H3" s="10">
        <v>106</v>
      </c>
      <c r="I3" s="5" t="s">
        <v>241</v>
      </c>
      <c r="J3" s="30">
        <f>F3*H3</f>
        <v>63600</v>
      </c>
    </row>
    <row r="4" spans="1:10" x14ac:dyDescent="0.2">
      <c r="A4" t="s">
        <v>210</v>
      </c>
      <c r="B4">
        <v>4</v>
      </c>
      <c r="C4" t="s">
        <v>170</v>
      </c>
      <c r="D4" s="3">
        <f>20*2*8</f>
        <v>320</v>
      </c>
      <c r="E4" s="5" t="s">
        <v>241</v>
      </c>
      <c r="F4" s="15">
        <f>B4*D4/27</f>
        <v>47.407407407407405</v>
      </c>
      <c r="G4" t="s">
        <v>242</v>
      </c>
      <c r="H4" s="10">
        <v>400</v>
      </c>
      <c r="I4" t="s">
        <v>242</v>
      </c>
      <c r="J4" s="30">
        <f>F4*H4</f>
        <v>18962.962962962964</v>
      </c>
    </row>
    <row r="5" spans="1:10" x14ac:dyDescent="0.2">
      <c r="A5" t="s">
        <v>211</v>
      </c>
      <c r="B5">
        <v>4</v>
      </c>
      <c r="C5" t="s">
        <v>170</v>
      </c>
      <c r="D5" s="3">
        <f>25*6*6</f>
        <v>900</v>
      </c>
      <c r="E5" s="5" t="s">
        <v>241</v>
      </c>
      <c r="F5" s="15">
        <f>B5*D5/27</f>
        <v>133.33333333333334</v>
      </c>
      <c r="G5" t="s">
        <v>242</v>
      </c>
      <c r="H5" s="10">
        <v>50</v>
      </c>
      <c r="I5" t="s">
        <v>242</v>
      </c>
      <c r="J5" s="30">
        <f>F5*H5</f>
        <v>6666.666666666667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H17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4.28515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543</v>
      </c>
      <c r="B1" s="1" t="s">
        <v>244</v>
      </c>
      <c r="C1" s="1" t="s">
        <v>245</v>
      </c>
      <c r="D1" s="1" t="s">
        <v>246</v>
      </c>
      <c r="E1" s="1" t="s">
        <v>247</v>
      </c>
      <c r="F1" s="1" t="s">
        <v>248</v>
      </c>
      <c r="G1" s="1" t="s">
        <v>249</v>
      </c>
      <c r="H1" s="1" t="s">
        <v>250</v>
      </c>
    </row>
    <row r="2" spans="1:8" x14ac:dyDescent="0.2">
      <c r="A2" s="1" t="s">
        <v>542</v>
      </c>
      <c r="C2" s="43" t="s">
        <v>251</v>
      </c>
      <c r="D2" s="43" t="s">
        <v>252</v>
      </c>
    </row>
    <row r="3" spans="1:8" x14ac:dyDescent="0.2">
      <c r="A3" t="s">
        <v>253</v>
      </c>
      <c r="B3">
        <v>3</v>
      </c>
      <c r="C3" s="5">
        <v>4342</v>
      </c>
      <c r="D3">
        <v>80</v>
      </c>
      <c r="E3" s="7">
        <v>1.2</v>
      </c>
      <c r="F3" s="4">
        <v>0.75</v>
      </c>
      <c r="G3" s="3">
        <f t="shared" ref="G3:G9" si="0">(C3*D3*E3)/(3960*F3)</f>
        <v>140.34747474747473</v>
      </c>
      <c r="H3" s="11">
        <f t="shared" ref="H3:H9" si="1">B3*G3</f>
        <v>421.0424242424242</v>
      </c>
    </row>
    <row r="4" spans="1:8" x14ac:dyDescent="0.2">
      <c r="A4" t="s">
        <v>254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si="0"/>
        <v>123.95399113082041</v>
      </c>
      <c r="H4" s="11">
        <f t="shared" si="1"/>
        <v>123.95399113082041</v>
      </c>
    </row>
    <row r="5" spans="1:8" x14ac:dyDescent="0.2">
      <c r="A5" t="s">
        <v>255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256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257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258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259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250</v>
      </c>
      <c r="C10" s="5"/>
      <c r="E10" s="7"/>
      <c r="F10" s="4"/>
      <c r="G10" s="44"/>
      <c r="H10" s="44">
        <f>SUM(H3:H9)</f>
        <v>854.70519424869019</v>
      </c>
    </row>
    <row r="11" spans="1:8" x14ac:dyDescent="0.2">
      <c r="A11" s="1" t="s">
        <v>260</v>
      </c>
      <c r="C11" s="5"/>
      <c r="E11" s="7"/>
      <c r="F11" s="4"/>
      <c r="G11" s="5"/>
      <c r="H11" s="13">
        <f>H10*745.699872/1000</f>
        <v>637.3535539489834</v>
      </c>
    </row>
    <row r="13" spans="1:8" x14ac:dyDescent="0.2">
      <c r="A13" t="s">
        <v>261</v>
      </c>
      <c r="C13" t="s">
        <v>262</v>
      </c>
      <c r="H13" s="5"/>
    </row>
    <row r="14" spans="1:8" x14ac:dyDescent="0.2">
      <c r="A14" t="s">
        <v>263</v>
      </c>
      <c r="C14" t="s">
        <v>264</v>
      </c>
    </row>
    <row r="15" spans="1:8" x14ac:dyDescent="0.2">
      <c r="A15" t="s">
        <v>265</v>
      </c>
      <c r="C15" t="s">
        <v>266</v>
      </c>
    </row>
    <row r="16" spans="1:8" x14ac:dyDescent="0.2">
      <c r="A16" t="s">
        <v>267</v>
      </c>
      <c r="C16" t="s">
        <v>268</v>
      </c>
    </row>
    <row r="17" spans="1:3" x14ac:dyDescent="0.2">
      <c r="A17" t="s">
        <v>269</v>
      </c>
      <c r="C17" t="s">
        <v>270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30"/>
  <sheetViews>
    <sheetView zoomScale="90" zoomScaleNormal="90" workbookViewId="0">
      <pane ySplit="1" topLeftCell="A73" activePane="bottomLeft" state="frozen"/>
      <selection pane="bottomLeft" activeCell="C97" sqref="C97:BC97"/>
    </sheetView>
  </sheetViews>
  <sheetFormatPr defaultColWidth="11.85546875" defaultRowHeight="12.75" x14ac:dyDescent="0.2"/>
  <cols>
    <col min="1" max="1" width="61.140625" customWidth="1"/>
    <col min="2" max="2" width="7.85546875" customWidth="1"/>
    <col min="3" max="4" width="16.28515625" customWidth="1"/>
    <col min="5" max="5" width="16.42578125" customWidth="1"/>
    <col min="6" max="6" width="16" customWidth="1"/>
    <col min="7" max="7" width="17.140625" customWidth="1"/>
    <col min="8" max="8" width="17.42578125" customWidth="1"/>
    <col min="9" max="11" width="17.5703125" customWidth="1"/>
    <col min="12" max="12" width="17.42578125" customWidth="1"/>
    <col min="13" max="13" width="18" customWidth="1"/>
    <col min="14" max="14" width="17.5703125" customWidth="1"/>
    <col min="15" max="15" width="18.5703125" customWidth="1"/>
    <col min="16" max="16" width="18.42578125" customWidth="1"/>
    <col min="17" max="17" width="18.85546875" customWidth="1"/>
    <col min="18" max="18" width="18.5703125" customWidth="1"/>
    <col min="19" max="19" width="19.140625" customWidth="1"/>
    <col min="20" max="21" width="18.85546875" customWidth="1"/>
    <col min="22" max="22" width="18.42578125" customWidth="1"/>
    <col min="23" max="23" width="18.85546875" customWidth="1"/>
    <col min="24" max="24" width="18.42578125" customWidth="1"/>
    <col min="25" max="25" width="18.7109375" customWidth="1"/>
    <col min="26" max="26" width="19" customWidth="1"/>
    <col min="27" max="27" width="19.140625" customWidth="1"/>
    <col min="28" max="29" width="19" customWidth="1"/>
    <col min="30" max="30" width="18.7109375" customWidth="1"/>
    <col min="31" max="31" width="18.42578125" customWidth="1"/>
    <col min="32" max="32" width="18.7109375" customWidth="1"/>
    <col min="33" max="33" width="19" customWidth="1"/>
    <col min="34" max="34" width="18.42578125" customWidth="1"/>
    <col min="35" max="35" width="18.85546875" customWidth="1"/>
    <col min="36" max="37" width="18.42578125" customWidth="1"/>
    <col min="38" max="38" width="19" customWidth="1"/>
    <col min="39" max="60" width="18.5703125" customWidth="1"/>
    <col min="61" max="61" width="6.42578125" customWidth="1"/>
  </cols>
  <sheetData>
    <row r="1" spans="1:61" x14ac:dyDescent="0.2">
      <c r="A1" t="s">
        <v>2</v>
      </c>
      <c r="B1" t="s">
        <v>511</v>
      </c>
      <c r="C1">
        <v>2025</v>
      </c>
      <c r="D1" s="3">
        <f t="shared" ref="D1:AO1" si="0">C1+1</f>
        <v>2026</v>
      </c>
      <c r="E1" s="3">
        <f t="shared" si="0"/>
        <v>2027</v>
      </c>
      <c r="F1" s="3">
        <f t="shared" si="0"/>
        <v>2028</v>
      </c>
      <c r="G1" s="3">
        <f t="shared" si="0"/>
        <v>2029</v>
      </c>
      <c r="H1" s="3">
        <f t="shared" si="0"/>
        <v>2030</v>
      </c>
      <c r="I1" s="3">
        <f t="shared" si="0"/>
        <v>2031</v>
      </c>
      <c r="J1" s="3">
        <f t="shared" si="0"/>
        <v>2032</v>
      </c>
      <c r="K1" s="3">
        <f t="shared" si="0"/>
        <v>2033</v>
      </c>
      <c r="L1" s="3">
        <f t="shared" si="0"/>
        <v>2034</v>
      </c>
      <c r="M1" s="3">
        <f t="shared" si="0"/>
        <v>2035</v>
      </c>
      <c r="N1" s="3">
        <f t="shared" si="0"/>
        <v>2036</v>
      </c>
      <c r="O1" s="3">
        <f t="shared" si="0"/>
        <v>2037</v>
      </c>
      <c r="P1" s="3">
        <f t="shared" si="0"/>
        <v>2038</v>
      </c>
      <c r="Q1" s="3">
        <f t="shared" si="0"/>
        <v>2039</v>
      </c>
      <c r="R1" s="3">
        <f t="shared" si="0"/>
        <v>2040</v>
      </c>
      <c r="S1" s="3">
        <f t="shared" si="0"/>
        <v>2041</v>
      </c>
      <c r="T1" s="3">
        <f t="shared" si="0"/>
        <v>2042</v>
      </c>
      <c r="U1" s="3">
        <f t="shared" si="0"/>
        <v>2043</v>
      </c>
      <c r="V1" s="3">
        <f t="shared" si="0"/>
        <v>2044</v>
      </c>
      <c r="W1" s="3">
        <f t="shared" si="0"/>
        <v>2045</v>
      </c>
      <c r="X1" s="3">
        <f t="shared" si="0"/>
        <v>2046</v>
      </c>
      <c r="Y1" s="3">
        <f t="shared" si="0"/>
        <v>2047</v>
      </c>
      <c r="Z1" s="3">
        <f t="shared" si="0"/>
        <v>2048</v>
      </c>
      <c r="AA1" s="3">
        <f t="shared" si="0"/>
        <v>2049</v>
      </c>
      <c r="AB1" s="3">
        <f t="shared" si="0"/>
        <v>2050</v>
      </c>
      <c r="AC1" s="3">
        <f t="shared" si="0"/>
        <v>2051</v>
      </c>
      <c r="AD1" s="3">
        <f t="shared" si="0"/>
        <v>2052</v>
      </c>
      <c r="AE1" s="3">
        <f t="shared" si="0"/>
        <v>2053</v>
      </c>
      <c r="AF1" s="3">
        <f t="shared" si="0"/>
        <v>2054</v>
      </c>
      <c r="AG1" s="3">
        <f t="shared" si="0"/>
        <v>2055</v>
      </c>
      <c r="AH1" s="3">
        <f t="shared" si="0"/>
        <v>2056</v>
      </c>
      <c r="AI1" s="3">
        <f t="shared" si="0"/>
        <v>2057</v>
      </c>
      <c r="AJ1" s="3">
        <f t="shared" si="0"/>
        <v>2058</v>
      </c>
      <c r="AK1" s="3">
        <f t="shared" si="0"/>
        <v>2059</v>
      </c>
      <c r="AL1" s="3">
        <f t="shared" si="0"/>
        <v>2060</v>
      </c>
      <c r="AM1" s="3">
        <f t="shared" si="0"/>
        <v>2061</v>
      </c>
      <c r="AN1" s="3">
        <f t="shared" si="0"/>
        <v>2062</v>
      </c>
      <c r="AO1" s="3">
        <f t="shared" si="0"/>
        <v>2063</v>
      </c>
      <c r="AP1" s="3">
        <f t="shared" ref="AP1" si="1">AO1+1</f>
        <v>2064</v>
      </c>
      <c r="AQ1" s="3">
        <f t="shared" ref="AQ1" si="2">AP1+1</f>
        <v>2065</v>
      </c>
      <c r="AR1" s="3">
        <f t="shared" ref="AR1" si="3">AQ1+1</f>
        <v>2066</v>
      </c>
      <c r="AS1" s="3">
        <f t="shared" ref="AS1" si="4">AR1+1</f>
        <v>2067</v>
      </c>
      <c r="AT1" s="3">
        <f t="shared" ref="AT1" si="5">AS1+1</f>
        <v>2068</v>
      </c>
      <c r="AU1" s="3">
        <f t="shared" ref="AU1" si="6">AT1+1</f>
        <v>2069</v>
      </c>
      <c r="AV1" s="3">
        <f t="shared" ref="AV1" si="7">AU1+1</f>
        <v>2070</v>
      </c>
      <c r="AW1" s="3">
        <f t="shared" ref="AW1" si="8">AV1+1</f>
        <v>2071</v>
      </c>
      <c r="AX1" s="3">
        <f t="shared" ref="AX1" si="9">AW1+1</f>
        <v>2072</v>
      </c>
      <c r="AY1" s="3">
        <f t="shared" ref="AY1" si="10">AX1+1</f>
        <v>2073</v>
      </c>
      <c r="AZ1" s="3">
        <f t="shared" ref="AZ1" si="11">AY1+1</f>
        <v>2074</v>
      </c>
      <c r="BA1" s="3">
        <f t="shared" ref="BA1" si="12">AZ1+1</f>
        <v>2075</v>
      </c>
      <c r="BB1" s="3">
        <f t="shared" ref="BB1" si="13">BA1+1</f>
        <v>2076</v>
      </c>
      <c r="BC1" s="3">
        <f t="shared" ref="BC1" si="14">BB1+1</f>
        <v>2077</v>
      </c>
      <c r="BD1" s="3">
        <f t="shared" ref="BD1" si="15">BC1+1</f>
        <v>2078</v>
      </c>
      <c r="BE1" s="3">
        <f t="shared" ref="BE1" si="16">BD1+1</f>
        <v>2079</v>
      </c>
      <c r="BF1" s="3">
        <f t="shared" ref="BF1" si="17">BE1+1</f>
        <v>2080</v>
      </c>
      <c r="BG1" s="3">
        <f t="shared" ref="BG1:BH1" si="18">BF1+1</f>
        <v>2081</v>
      </c>
      <c r="BH1" s="3">
        <f t="shared" si="18"/>
        <v>2082</v>
      </c>
      <c r="BI1" s="3"/>
    </row>
    <row r="3" spans="1:61" s="74" customFormat="1" x14ac:dyDescent="0.2">
      <c r="A3" s="74" t="s">
        <v>3</v>
      </c>
      <c r="B3" s="121"/>
      <c r="C3" s="75">
        <f>'Management Team Cost'!$D$7</f>
        <v>936000</v>
      </c>
      <c r="D3" s="75">
        <f>'Management Team Cost'!$D$7</f>
        <v>936000</v>
      </c>
      <c r="E3" s="75">
        <f>'Management Team Cost'!$D$7</f>
        <v>936000</v>
      </c>
      <c r="F3" s="75">
        <f>'Management Team Cost'!$D$7</f>
        <v>936000</v>
      </c>
      <c r="G3" s="75">
        <f>'Management Team Cost'!$D$7</f>
        <v>936000</v>
      </c>
      <c r="H3" s="75">
        <f>'Management Team Cost'!$D$7</f>
        <v>936000</v>
      </c>
      <c r="I3" s="75">
        <f>'Management Team Cost'!$D$7</f>
        <v>936000</v>
      </c>
      <c r="J3" s="75">
        <f>'Management Team Cost'!$D$7</f>
        <v>936000</v>
      </c>
      <c r="K3" s="75">
        <f>'Management Team Cost'!$D$7</f>
        <v>936000</v>
      </c>
      <c r="L3" s="75">
        <f>'Management Team Cost'!$D$7</f>
        <v>936000</v>
      </c>
      <c r="M3" s="75">
        <f>'Management Team Cost'!$D$7</f>
        <v>936000</v>
      </c>
      <c r="N3" s="75">
        <f>'Management Team Cost'!$D$7</f>
        <v>936000</v>
      </c>
      <c r="O3" s="75">
        <f>'Management Team Cost'!$D$7</f>
        <v>936000</v>
      </c>
      <c r="P3" s="75">
        <f>'Management Team Cost'!$D$7</f>
        <v>936000</v>
      </c>
      <c r="Q3" s="75">
        <f>'Management Team Cost'!$D$7</f>
        <v>936000</v>
      </c>
      <c r="R3" s="75">
        <f>'Management Team Cost'!$D$7</f>
        <v>936000</v>
      </c>
      <c r="S3" s="75">
        <f>'Management Team Cost'!$D$7</f>
        <v>936000</v>
      </c>
      <c r="T3" s="75">
        <f>'Management Team Cost'!$D$7</f>
        <v>936000</v>
      </c>
      <c r="U3" s="75">
        <f>'Management Team Cost'!$D$7</f>
        <v>936000</v>
      </c>
      <c r="V3" s="75">
        <f>'Management Team Cost'!$D$7</f>
        <v>936000</v>
      </c>
      <c r="W3" s="75">
        <f>'Management Team Cost'!$D$7</f>
        <v>936000</v>
      </c>
      <c r="X3" s="75">
        <f>'Management Team Cost'!$D$7</f>
        <v>936000</v>
      </c>
      <c r="Y3" s="75">
        <f>'Management Team Cost'!$D$7</f>
        <v>936000</v>
      </c>
      <c r="Z3" s="75">
        <f>'Management Team Cost'!$D$7</f>
        <v>936000</v>
      </c>
      <c r="AA3" s="75">
        <f>'Management Team Cost'!$D$7</f>
        <v>936000</v>
      </c>
      <c r="AB3" s="75">
        <f>'Management Team Cost'!$D$7</f>
        <v>936000</v>
      </c>
      <c r="AC3" s="75">
        <f>'Management Team Cost'!$D$7</f>
        <v>936000</v>
      </c>
      <c r="AD3" s="75">
        <f>'Management Team Cost'!$D$7</f>
        <v>936000</v>
      </c>
      <c r="AE3" s="75">
        <f>'Management Team Cost'!$D$7</f>
        <v>936000</v>
      </c>
      <c r="AF3" s="75">
        <f>'Management Team Cost'!$D$7</f>
        <v>936000</v>
      </c>
      <c r="AG3" s="75">
        <f>'Management Team Cost'!$D$7</f>
        <v>936000</v>
      </c>
      <c r="AH3" s="75">
        <f>'Management Team Cost'!$D$7</f>
        <v>936000</v>
      </c>
      <c r="AI3" s="75">
        <f>'Management Team Cost'!$D$7</f>
        <v>936000</v>
      </c>
      <c r="AJ3" s="75">
        <f>'Management Team Cost'!$D$7</f>
        <v>936000</v>
      </c>
      <c r="AK3" s="75">
        <f>'Management Team Cost'!$D$7</f>
        <v>936000</v>
      </c>
      <c r="AL3" s="75">
        <f>'Management Team Cost'!$D$7</f>
        <v>936000</v>
      </c>
      <c r="AM3" s="75">
        <f>'Management Team Cost'!$D$7</f>
        <v>936000</v>
      </c>
      <c r="AN3" s="75">
        <f>'Management Team Cost'!$D$7</f>
        <v>936000</v>
      </c>
      <c r="AO3" s="75">
        <f>'Management Team Cost'!$D$7</f>
        <v>936000</v>
      </c>
      <c r="AP3" s="75">
        <f>'Management Team Cost'!$D$7</f>
        <v>936000</v>
      </c>
      <c r="AQ3" s="75">
        <f>'Management Team Cost'!$D$7</f>
        <v>936000</v>
      </c>
      <c r="AR3" s="75">
        <f>'Management Team Cost'!$D$7</f>
        <v>936000</v>
      </c>
      <c r="AS3" s="75">
        <f>'Management Team Cost'!$D$7</f>
        <v>936000</v>
      </c>
      <c r="AT3" s="75">
        <f>'Management Team Cost'!$D$7</f>
        <v>936000</v>
      </c>
      <c r="AU3" s="75">
        <f>'Management Team Cost'!$D$7</f>
        <v>936000</v>
      </c>
      <c r="AV3" s="75">
        <f>'Management Team Cost'!$D$7</f>
        <v>936000</v>
      </c>
      <c r="AW3" s="75">
        <f>'Management Team Cost'!$D$7</f>
        <v>936000</v>
      </c>
      <c r="AX3" s="75">
        <f>'Management Team Cost'!$D$7</f>
        <v>936000</v>
      </c>
      <c r="AY3" s="75">
        <f>'Management Team Cost'!$D$7</f>
        <v>936000</v>
      </c>
      <c r="AZ3" s="75">
        <f>'Management Team Cost'!$D$7</f>
        <v>936000</v>
      </c>
      <c r="BA3" s="75">
        <f>'Management Team Cost'!$D$7</f>
        <v>936000</v>
      </c>
      <c r="BB3" s="75">
        <f>'Management Team Cost'!$D$7</f>
        <v>936000</v>
      </c>
      <c r="BC3" s="75">
        <f>'Management Team Cost'!$D$7</f>
        <v>936000</v>
      </c>
      <c r="BD3" s="75">
        <f>'Management Team Cost'!$D$7</f>
        <v>936000</v>
      </c>
      <c r="BE3" s="75">
        <f>'Management Team Cost'!$D$7</f>
        <v>936000</v>
      </c>
      <c r="BF3" s="75">
        <f>'Management Team Cost'!$D$7</f>
        <v>936000</v>
      </c>
      <c r="BG3" s="75">
        <f>'Management Team Cost'!$D$7</f>
        <v>936000</v>
      </c>
      <c r="BH3" s="75">
        <f>'Management Team Cost'!$D$7</f>
        <v>936000</v>
      </c>
      <c r="BI3" s="75"/>
    </row>
    <row r="4" spans="1:61" s="74" customFormat="1" x14ac:dyDescent="0.2">
      <c r="A4" s="74" t="s">
        <v>4</v>
      </c>
      <c r="B4" s="121"/>
      <c r="C4" s="75">
        <f>'Management Team Cost'!$D$18</f>
        <v>97160</v>
      </c>
      <c r="D4" s="75">
        <f>'Management Team Cost'!$D$18</f>
        <v>97160</v>
      </c>
      <c r="E4" s="75">
        <f>'Management Team Cost'!$D$18</f>
        <v>97160</v>
      </c>
      <c r="F4" s="75">
        <f>'Management Team Cost'!$D$18</f>
        <v>97160</v>
      </c>
      <c r="G4" s="75">
        <f>'Management Team Cost'!$D$18</f>
        <v>97160</v>
      </c>
      <c r="H4" s="75">
        <f>'Management Team Cost'!$D$18</f>
        <v>97160</v>
      </c>
      <c r="I4" s="75">
        <f>'Management Team Cost'!$D$18</f>
        <v>97160</v>
      </c>
      <c r="J4" s="75">
        <f>'Management Team Cost'!$D$18</f>
        <v>97160</v>
      </c>
      <c r="K4" s="75">
        <f>'Management Team Cost'!$D$18</f>
        <v>97160</v>
      </c>
      <c r="L4" s="75">
        <f>'Management Team Cost'!$D$18</f>
        <v>97160</v>
      </c>
      <c r="M4" s="75">
        <f>'Management Team Cost'!$D$18</f>
        <v>97160</v>
      </c>
      <c r="N4" s="75">
        <f>'Management Team Cost'!$D$18</f>
        <v>97160</v>
      </c>
      <c r="O4" s="75">
        <f>'Management Team Cost'!$D$18</f>
        <v>97160</v>
      </c>
      <c r="P4" s="75">
        <f>'Management Team Cost'!$D$18</f>
        <v>97160</v>
      </c>
      <c r="Q4" s="75">
        <f>'Management Team Cost'!$D$18</f>
        <v>97160</v>
      </c>
      <c r="R4" s="75">
        <f>'Management Team Cost'!$D$18</f>
        <v>97160</v>
      </c>
      <c r="S4" s="75">
        <f>'Management Team Cost'!$D$18</f>
        <v>97160</v>
      </c>
      <c r="T4" s="75">
        <f>'Management Team Cost'!$D$18</f>
        <v>97160</v>
      </c>
      <c r="U4" s="75">
        <f>'Management Team Cost'!$D$18</f>
        <v>97160</v>
      </c>
      <c r="V4" s="75">
        <f>'Management Team Cost'!$D$18</f>
        <v>97160</v>
      </c>
      <c r="W4" s="75">
        <f>'Management Team Cost'!$D$18</f>
        <v>97160</v>
      </c>
      <c r="X4" s="75">
        <f>'Management Team Cost'!$D$18</f>
        <v>97160</v>
      </c>
      <c r="Y4" s="75">
        <f>'Management Team Cost'!$D$18</f>
        <v>97160</v>
      </c>
      <c r="Z4" s="75">
        <f>'Management Team Cost'!$D$18</f>
        <v>97160</v>
      </c>
      <c r="AA4" s="75">
        <f>'Management Team Cost'!$D$18</f>
        <v>97160</v>
      </c>
      <c r="AB4" s="75">
        <f>'Management Team Cost'!$D$18</f>
        <v>97160</v>
      </c>
      <c r="AC4" s="75">
        <f>'Management Team Cost'!$D$18</f>
        <v>97160</v>
      </c>
      <c r="AD4" s="75">
        <f>'Management Team Cost'!$D$18</f>
        <v>97160</v>
      </c>
      <c r="AE4" s="75">
        <f>'Management Team Cost'!$D$18</f>
        <v>97160</v>
      </c>
      <c r="AF4" s="75">
        <f>'Management Team Cost'!$D$18</f>
        <v>97160</v>
      </c>
      <c r="AG4" s="75">
        <f>'Management Team Cost'!$D$18</f>
        <v>97160</v>
      </c>
      <c r="AH4" s="75">
        <f>'Management Team Cost'!$D$18</f>
        <v>97160</v>
      </c>
      <c r="AI4" s="75">
        <f>'Management Team Cost'!$D$18</f>
        <v>97160</v>
      </c>
      <c r="AJ4" s="75">
        <f>'Management Team Cost'!$D$18</f>
        <v>97160</v>
      </c>
      <c r="AK4" s="75">
        <f>'Management Team Cost'!$D$18</f>
        <v>97160</v>
      </c>
      <c r="AL4" s="75">
        <f>'Management Team Cost'!$D$18</f>
        <v>97160</v>
      </c>
      <c r="AM4" s="75">
        <f>'Management Team Cost'!$D$18</f>
        <v>97160</v>
      </c>
      <c r="AN4" s="75">
        <f>'Management Team Cost'!$D$18</f>
        <v>97160</v>
      </c>
      <c r="AO4" s="75">
        <f>'Management Team Cost'!$D$18</f>
        <v>97160</v>
      </c>
      <c r="AP4" s="75">
        <f>'Management Team Cost'!$D$18</f>
        <v>97160</v>
      </c>
      <c r="AQ4" s="75">
        <f>'Management Team Cost'!$D$18</f>
        <v>97160</v>
      </c>
      <c r="AR4" s="75">
        <f>'Management Team Cost'!$D$18</f>
        <v>97160</v>
      </c>
      <c r="AS4" s="75">
        <f>'Management Team Cost'!$D$18</f>
        <v>97160</v>
      </c>
      <c r="AT4" s="75">
        <f>'Management Team Cost'!$D$18</f>
        <v>97160</v>
      </c>
      <c r="AU4" s="75">
        <f>'Management Team Cost'!$D$18</f>
        <v>97160</v>
      </c>
      <c r="AV4" s="75">
        <f>'Management Team Cost'!$D$18</f>
        <v>97160</v>
      </c>
      <c r="AW4" s="75">
        <f>'Management Team Cost'!$D$18</f>
        <v>97160</v>
      </c>
      <c r="AX4" s="75">
        <f>'Management Team Cost'!$D$18</f>
        <v>97160</v>
      </c>
      <c r="AY4" s="75">
        <f>'Management Team Cost'!$D$18</f>
        <v>97160</v>
      </c>
      <c r="AZ4" s="75">
        <f>'Management Team Cost'!$D$18</f>
        <v>97160</v>
      </c>
      <c r="BA4" s="75">
        <f>'Management Team Cost'!$D$18</f>
        <v>97160</v>
      </c>
      <c r="BB4" s="75">
        <f>'Management Team Cost'!$D$18</f>
        <v>97160</v>
      </c>
      <c r="BC4" s="75">
        <f>'Management Team Cost'!$D$18</f>
        <v>97160</v>
      </c>
      <c r="BD4" s="75">
        <f>'Management Team Cost'!$D$18</f>
        <v>97160</v>
      </c>
      <c r="BE4" s="75">
        <f>'Management Team Cost'!$D$18</f>
        <v>97160</v>
      </c>
      <c r="BF4" s="75">
        <f>'Management Team Cost'!$D$18</f>
        <v>97160</v>
      </c>
      <c r="BG4" s="75">
        <f>'Management Team Cost'!$D$18</f>
        <v>97160</v>
      </c>
      <c r="BH4" s="75">
        <f>'Management Team Cost'!$D$18</f>
        <v>97160</v>
      </c>
      <c r="BI4" s="75"/>
    </row>
    <row r="5" spans="1:61" s="74" customFormat="1" x14ac:dyDescent="0.2">
      <c r="A5" s="74" t="s">
        <v>5</v>
      </c>
      <c r="B5" s="121"/>
      <c r="C5" s="75">
        <f>'Engineering Team Cost'!$D$9</f>
        <v>1313000</v>
      </c>
      <c r="D5" s="75">
        <f>'Engineering Team Cost'!$D$9</f>
        <v>1313000</v>
      </c>
      <c r="E5" s="75">
        <f>'Engineering Team Cost'!$D$9</f>
        <v>1313000</v>
      </c>
      <c r="F5" s="75">
        <f>'Engineering Team Cost'!$D$9</f>
        <v>1313000</v>
      </c>
      <c r="G5" s="75">
        <f>'Engineering Team Cost'!$D$9</f>
        <v>1313000</v>
      </c>
      <c r="H5" s="75">
        <f>'Engineering Team Cost'!$D$9</f>
        <v>1313000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75">
        <v>0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  <c r="W5" s="75">
        <v>0</v>
      </c>
      <c r="X5" s="75">
        <v>0</v>
      </c>
      <c r="Y5" s="75">
        <v>0</v>
      </c>
      <c r="Z5" s="75">
        <v>0</v>
      </c>
      <c r="AA5" s="75">
        <v>0</v>
      </c>
      <c r="AB5" s="75">
        <v>0</v>
      </c>
      <c r="AC5" s="75">
        <v>0</v>
      </c>
      <c r="AD5" s="75">
        <v>0</v>
      </c>
      <c r="AE5" s="75">
        <v>0</v>
      </c>
      <c r="AF5" s="75">
        <v>0</v>
      </c>
      <c r="AG5" s="75">
        <v>0</v>
      </c>
      <c r="AH5" s="75">
        <v>0</v>
      </c>
      <c r="AI5" s="75">
        <v>0</v>
      </c>
      <c r="AJ5" s="75">
        <v>0</v>
      </c>
      <c r="AK5" s="75">
        <v>0</v>
      </c>
      <c r="AL5" s="75">
        <v>0</v>
      </c>
      <c r="AM5" s="75">
        <v>0</v>
      </c>
      <c r="AN5" s="75">
        <v>0</v>
      </c>
      <c r="AO5" s="75">
        <v>0</v>
      </c>
      <c r="AP5" s="75">
        <v>0</v>
      </c>
      <c r="AQ5" s="75">
        <v>0</v>
      </c>
      <c r="AR5" s="75">
        <v>0</v>
      </c>
      <c r="AS5" s="75">
        <v>0</v>
      </c>
      <c r="AT5" s="75">
        <v>0</v>
      </c>
      <c r="AU5" s="75">
        <v>0</v>
      </c>
      <c r="AV5" s="75">
        <v>0</v>
      </c>
      <c r="AW5" s="75">
        <v>0</v>
      </c>
      <c r="AX5" s="75">
        <v>0</v>
      </c>
      <c r="AY5" s="75">
        <v>0</v>
      </c>
      <c r="AZ5" s="75">
        <v>0</v>
      </c>
      <c r="BA5" s="75">
        <v>0</v>
      </c>
      <c r="BB5" s="75">
        <v>0</v>
      </c>
      <c r="BC5" s="75">
        <v>0</v>
      </c>
      <c r="BD5" s="75">
        <v>0</v>
      </c>
      <c r="BE5" s="75">
        <v>0</v>
      </c>
      <c r="BF5" s="75">
        <v>0</v>
      </c>
      <c r="BG5" s="75">
        <v>0</v>
      </c>
      <c r="BH5" s="75">
        <v>0</v>
      </c>
      <c r="BI5" s="75"/>
    </row>
    <row r="6" spans="1:61" s="74" customFormat="1" x14ac:dyDescent="0.2">
      <c r="A6" s="74" t="s">
        <v>6</v>
      </c>
      <c r="B6" s="121"/>
      <c r="C6" s="75">
        <f>'Engineering Team Cost'!$D$15</f>
        <v>25000</v>
      </c>
      <c r="D6" s="75">
        <f>'Engineering Team Cost'!$D$15</f>
        <v>25000</v>
      </c>
      <c r="E6" s="75">
        <f>'Engineering Team Cost'!$D$15</f>
        <v>25000</v>
      </c>
      <c r="F6" s="75">
        <f>'Engineering Team Cost'!$D$15</f>
        <v>25000</v>
      </c>
      <c r="G6" s="75">
        <f>'Engineering Team Cost'!$D$15</f>
        <v>25000</v>
      </c>
      <c r="H6" s="75">
        <f>'Engineering Team Cost'!$D$15</f>
        <v>25000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v>0</v>
      </c>
      <c r="X6" s="75">
        <v>0</v>
      </c>
      <c r="Y6" s="75">
        <v>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0</v>
      </c>
      <c r="AF6" s="75">
        <v>0</v>
      </c>
      <c r="AG6" s="75">
        <v>0</v>
      </c>
      <c r="AH6" s="75">
        <v>0</v>
      </c>
      <c r="AI6" s="75">
        <v>0</v>
      </c>
      <c r="AJ6" s="75">
        <v>0</v>
      </c>
      <c r="AK6" s="75">
        <v>0</v>
      </c>
      <c r="AL6" s="75">
        <v>0</v>
      </c>
      <c r="AM6" s="75">
        <v>0</v>
      </c>
      <c r="AN6" s="75">
        <v>0</v>
      </c>
      <c r="AO6" s="75">
        <v>0</v>
      </c>
      <c r="AP6" s="75">
        <v>0</v>
      </c>
      <c r="AQ6" s="75">
        <v>0</v>
      </c>
      <c r="AR6" s="75">
        <v>0</v>
      </c>
      <c r="AS6" s="75">
        <v>0</v>
      </c>
      <c r="AT6" s="75">
        <v>0</v>
      </c>
      <c r="AU6" s="75">
        <v>0</v>
      </c>
      <c r="AV6" s="75">
        <v>0</v>
      </c>
      <c r="AW6" s="75">
        <v>0</v>
      </c>
      <c r="AX6" s="75">
        <v>0</v>
      </c>
      <c r="AY6" s="75">
        <v>0</v>
      </c>
      <c r="AZ6" s="75">
        <v>0</v>
      </c>
      <c r="BA6" s="75">
        <v>0</v>
      </c>
      <c r="BB6" s="75">
        <v>0</v>
      </c>
      <c r="BC6" s="75">
        <v>0</v>
      </c>
      <c r="BD6" s="75">
        <v>0</v>
      </c>
      <c r="BE6" s="75">
        <v>0</v>
      </c>
      <c r="BF6" s="75">
        <v>0</v>
      </c>
      <c r="BG6" s="75">
        <v>0</v>
      </c>
      <c r="BH6" s="75">
        <v>0</v>
      </c>
      <c r="BI6" s="75"/>
    </row>
    <row r="7" spans="1:61" s="74" customFormat="1" x14ac:dyDescent="0.2">
      <c r="A7" s="74" t="s">
        <v>7</v>
      </c>
      <c r="B7" s="121"/>
      <c r="C7" s="75">
        <f t="shared" ref="C7:AM7" si="19">SUM(C3:C6)</f>
        <v>2371160</v>
      </c>
      <c r="D7" s="75">
        <f t="shared" si="19"/>
        <v>2371160</v>
      </c>
      <c r="E7" s="75">
        <f t="shared" si="19"/>
        <v>2371160</v>
      </c>
      <c r="F7" s="75">
        <f t="shared" si="19"/>
        <v>2371160</v>
      </c>
      <c r="G7" s="75">
        <f t="shared" si="19"/>
        <v>2371160</v>
      </c>
      <c r="H7" s="75">
        <f t="shared" si="19"/>
        <v>2371160</v>
      </c>
      <c r="I7" s="75">
        <f t="shared" si="19"/>
        <v>1033160</v>
      </c>
      <c r="J7" s="75">
        <f t="shared" si="19"/>
        <v>1033160</v>
      </c>
      <c r="K7" s="75">
        <f t="shared" si="19"/>
        <v>1033160</v>
      </c>
      <c r="L7" s="75">
        <f t="shared" si="19"/>
        <v>1033160</v>
      </c>
      <c r="M7" s="75">
        <f t="shared" si="19"/>
        <v>1033160</v>
      </c>
      <c r="N7" s="75">
        <f t="shared" si="19"/>
        <v>1033160</v>
      </c>
      <c r="O7" s="75">
        <f t="shared" si="19"/>
        <v>1033160</v>
      </c>
      <c r="P7" s="75">
        <f t="shared" si="19"/>
        <v>1033160</v>
      </c>
      <c r="Q7" s="75">
        <f t="shared" si="19"/>
        <v>1033160</v>
      </c>
      <c r="R7" s="75">
        <f t="shared" si="19"/>
        <v>1033160</v>
      </c>
      <c r="S7" s="75">
        <f t="shared" si="19"/>
        <v>1033160</v>
      </c>
      <c r="T7" s="75">
        <f t="shared" si="19"/>
        <v>1033160</v>
      </c>
      <c r="U7" s="75">
        <f t="shared" si="19"/>
        <v>1033160</v>
      </c>
      <c r="V7" s="75">
        <f t="shared" si="19"/>
        <v>1033160</v>
      </c>
      <c r="W7" s="75">
        <f t="shared" si="19"/>
        <v>1033160</v>
      </c>
      <c r="X7" s="75">
        <f t="shared" si="19"/>
        <v>1033160</v>
      </c>
      <c r="Y7" s="75">
        <f t="shared" si="19"/>
        <v>1033160</v>
      </c>
      <c r="Z7" s="75">
        <f t="shared" si="19"/>
        <v>1033160</v>
      </c>
      <c r="AA7" s="75">
        <f t="shared" si="19"/>
        <v>1033160</v>
      </c>
      <c r="AB7" s="75">
        <f t="shared" si="19"/>
        <v>1033160</v>
      </c>
      <c r="AC7" s="75">
        <f t="shared" si="19"/>
        <v>1033160</v>
      </c>
      <c r="AD7" s="75">
        <f t="shared" si="19"/>
        <v>1033160</v>
      </c>
      <c r="AE7" s="75">
        <f t="shared" si="19"/>
        <v>1033160</v>
      </c>
      <c r="AF7" s="75">
        <f t="shared" si="19"/>
        <v>1033160</v>
      </c>
      <c r="AG7" s="75">
        <f t="shared" si="19"/>
        <v>1033160</v>
      </c>
      <c r="AH7" s="75">
        <f t="shared" si="19"/>
        <v>1033160</v>
      </c>
      <c r="AI7" s="75">
        <f t="shared" si="19"/>
        <v>1033160</v>
      </c>
      <c r="AJ7" s="75">
        <f t="shared" si="19"/>
        <v>1033160</v>
      </c>
      <c r="AK7" s="75">
        <f t="shared" si="19"/>
        <v>1033160</v>
      </c>
      <c r="AL7" s="75">
        <f t="shared" si="19"/>
        <v>1033160</v>
      </c>
      <c r="AM7" s="75">
        <f t="shared" si="19"/>
        <v>1033160</v>
      </c>
      <c r="AN7" s="75">
        <f t="shared" ref="AN7:AP7" si="20">SUM(AN3:AN6)</f>
        <v>1033160</v>
      </c>
      <c r="AO7" s="75">
        <f t="shared" si="20"/>
        <v>1033160</v>
      </c>
      <c r="AP7" s="75">
        <f t="shared" si="20"/>
        <v>1033160</v>
      </c>
      <c r="AQ7" s="75">
        <f t="shared" ref="AQ7:AS7" si="21">SUM(AQ3:AQ6)</f>
        <v>1033160</v>
      </c>
      <c r="AR7" s="75">
        <f t="shared" si="21"/>
        <v>1033160</v>
      </c>
      <c r="AS7" s="75">
        <f t="shared" si="21"/>
        <v>1033160</v>
      </c>
      <c r="AT7" s="75">
        <f t="shared" ref="AT7:AY7" si="22">SUM(AT3:AT6)</f>
        <v>1033160</v>
      </c>
      <c r="AU7" s="75">
        <f t="shared" si="22"/>
        <v>1033160</v>
      </c>
      <c r="AV7" s="75">
        <f t="shared" si="22"/>
        <v>1033160</v>
      </c>
      <c r="AW7" s="75">
        <f t="shared" si="22"/>
        <v>1033160</v>
      </c>
      <c r="AX7" s="75">
        <f t="shared" si="22"/>
        <v>1033160</v>
      </c>
      <c r="AY7" s="75">
        <f t="shared" si="22"/>
        <v>1033160</v>
      </c>
      <c r="AZ7" s="75">
        <f t="shared" ref="AZ7:BE7" si="23">SUM(AZ3:AZ6)</f>
        <v>1033160</v>
      </c>
      <c r="BA7" s="75">
        <f t="shared" si="23"/>
        <v>1033160</v>
      </c>
      <c r="BB7" s="75">
        <f t="shared" si="23"/>
        <v>1033160</v>
      </c>
      <c r="BC7" s="75">
        <f t="shared" si="23"/>
        <v>1033160</v>
      </c>
      <c r="BD7" s="75">
        <f t="shared" si="23"/>
        <v>1033160</v>
      </c>
      <c r="BE7" s="75">
        <f t="shared" si="23"/>
        <v>1033160</v>
      </c>
      <c r="BF7" s="75">
        <f t="shared" ref="BF7:BG7" si="24">SUM(BF3:BF6)</f>
        <v>1033160</v>
      </c>
      <c r="BG7" s="75">
        <f t="shared" si="24"/>
        <v>1033160</v>
      </c>
      <c r="BH7" s="75">
        <f t="shared" ref="BH7" si="25">SUM(BH3:BH6)</f>
        <v>1033160</v>
      </c>
      <c r="BI7" s="75"/>
    </row>
    <row r="8" spans="1:61" s="79" customFormat="1" x14ac:dyDescent="0.2">
      <c r="B8" s="125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</row>
    <row r="9" spans="1:61" x14ac:dyDescent="0.2">
      <c r="A9" s="164" t="s">
        <v>578</v>
      </c>
      <c r="B9" s="31"/>
    </row>
    <row r="10" spans="1:61" s="165" customFormat="1" x14ac:dyDescent="0.2">
      <c r="A10" s="165" t="s">
        <v>606</v>
      </c>
      <c r="B10" s="166"/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165">
        <v>0</v>
      </c>
      <c r="T10" s="165">
        <v>0</v>
      </c>
      <c r="U10" s="165">
        <v>0</v>
      </c>
      <c r="V10" s="165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1" x14ac:dyDescent="0.2">
      <c r="A11" s="74" t="s">
        <v>607</v>
      </c>
      <c r="B11" s="75">
        <v>250</v>
      </c>
      <c r="C11" s="75">
        <f t="shared" ref="C11:N12" si="26" xml:space="preserve"> $B11 * C$10</f>
        <v>0</v>
      </c>
      <c r="D11" s="75">
        <f t="shared" si="26"/>
        <v>0</v>
      </c>
      <c r="E11" s="75">
        <f t="shared" si="26"/>
        <v>0</v>
      </c>
      <c r="F11" s="75">
        <f t="shared" si="26"/>
        <v>0</v>
      </c>
      <c r="G11" s="75">
        <f t="shared" si="26"/>
        <v>0</v>
      </c>
      <c r="H11" s="75">
        <f t="shared" si="26"/>
        <v>0</v>
      </c>
      <c r="I11" s="75">
        <f t="shared" si="26"/>
        <v>0</v>
      </c>
      <c r="J11" s="75">
        <f t="shared" si="26"/>
        <v>0</v>
      </c>
      <c r="K11" s="75">
        <f t="shared" si="26"/>
        <v>0</v>
      </c>
      <c r="L11" s="75">
        <f t="shared" si="26"/>
        <v>0</v>
      </c>
      <c r="M11" s="75">
        <f t="shared" si="26"/>
        <v>0</v>
      </c>
      <c r="N11" s="75">
        <f t="shared" si="26"/>
        <v>0</v>
      </c>
      <c r="O11" s="75">
        <f xml:space="preserve"> $B11 * O$10</f>
        <v>0</v>
      </c>
      <c r="P11" s="75">
        <f t="shared" ref="P11:AP12" si="27" xml:space="preserve"> $B11 * P$10</f>
        <v>0</v>
      </c>
      <c r="Q11" s="75">
        <f t="shared" si="27"/>
        <v>0</v>
      </c>
      <c r="R11" s="75">
        <f t="shared" si="27"/>
        <v>0</v>
      </c>
      <c r="S11" s="75">
        <f t="shared" si="27"/>
        <v>0</v>
      </c>
      <c r="T11" s="75">
        <f t="shared" si="27"/>
        <v>0</v>
      </c>
      <c r="U11" s="75">
        <f t="shared" si="27"/>
        <v>0</v>
      </c>
      <c r="V11" s="75">
        <f t="shared" si="27"/>
        <v>0</v>
      </c>
      <c r="W11" s="75">
        <f t="shared" si="27"/>
        <v>0</v>
      </c>
      <c r="X11" s="75">
        <f t="shared" si="27"/>
        <v>0</v>
      </c>
      <c r="Y11" s="75">
        <f t="shared" si="27"/>
        <v>0</v>
      </c>
      <c r="Z11" s="75">
        <f t="shared" si="27"/>
        <v>0</v>
      </c>
      <c r="AA11" s="75">
        <f t="shared" si="27"/>
        <v>0</v>
      </c>
      <c r="AB11" s="75">
        <f t="shared" si="27"/>
        <v>0</v>
      </c>
      <c r="AC11" s="75">
        <f t="shared" si="27"/>
        <v>0</v>
      </c>
      <c r="AD11" s="75">
        <f t="shared" si="27"/>
        <v>0</v>
      </c>
      <c r="AE11" s="75">
        <f t="shared" si="27"/>
        <v>0</v>
      </c>
      <c r="AF11" s="75">
        <f t="shared" si="27"/>
        <v>0</v>
      </c>
      <c r="AG11" s="75">
        <f t="shared" si="27"/>
        <v>0</v>
      </c>
      <c r="AH11" s="75">
        <f t="shared" si="27"/>
        <v>0</v>
      </c>
      <c r="AI11" s="75">
        <f t="shared" si="27"/>
        <v>0</v>
      </c>
      <c r="AJ11" s="75">
        <f t="shared" si="27"/>
        <v>0</v>
      </c>
      <c r="AK11" s="75">
        <f t="shared" si="27"/>
        <v>0</v>
      </c>
      <c r="AL11" s="75">
        <f t="shared" si="27"/>
        <v>0</v>
      </c>
      <c r="AM11" s="75">
        <f t="shared" si="27"/>
        <v>0</v>
      </c>
      <c r="AN11" s="75">
        <f t="shared" si="27"/>
        <v>0</v>
      </c>
      <c r="AO11" s="75">
        <f t="shared" si="27"/>
        <v>0</v>
      </c>
      <c r="AP11" s="75">
        <f t="shared" si="27"/>
        <v>0</v>
      </c>
      <c r="AQ11" s="75">
        <f t="shared" ref="AP11:BE12" si="28" xml:space="preserve"> $B11 * AQ$10</f>
        <v>0</v>
      </c>
      <c r="AR11" s="75">
        <f t="shared" si="28"/>
        <v>0</v>
      </c>
      <c r="AS11" s="75">
        <f t="shared" si="28"/>
        <v>0</v>
      </c>
      <c r="AT11" s="75">
        <f t="shared" si="28"/>
        <v>0</v>
      </c>
      <c r="AU11" s="75">
        <f t="shared" si="28"/>
        <v>0</v>
      </c>
      <c r="AV11" s="75">
        <f t="shared" si="28"/>
        <v>0</v>
      </c>
      <c r="AW11" s="75">
        <f t="shared" si="28"/>
        <v>0</v>
      </c>
      <c r="AX11" s="75">
        <f t="shared" si="28"/>
        <v>0</v>
      </c>
      <c r="AY11" s="75">
        <f t="shared" si="28"/>
        <v>0</v>
      </c>
      <c r="AZ11" s="75">
        <f t="shared" si="28"/>
        <v>0</v>
      </c>
      <c r="BA11" s="75">
        <f t="shared" si="28"/>
        <v>0</v>
      </c>
      <c r="BB11" s="75">
        <f t="shared" si="28"/>
        <v>0</v>
      </c>
      <c r="BC11" s="75">
        <f t="shared" si="28"/>
        <v>0</v>
      </c>
      <c r="BD11" s="75">
        <f t="shared" si="28"/>
        <v>0</v>
      </c>
      <c r="BE11" s="75">
        <f t="shared" si="28"/>
        <v>0</v>
      </c>
      <c r="BF11" s="75">
        <f t="shared" ref="BB11:BH12" si="29" xml:space="preserve"> $B11 * BF$10</f>
        <v>0</v>
      </c>
      <c r="BG11" s="75">
        <f t="shared" si="29"/>
        <v>0</v>
      </c>
      <c r="BH11" s="75">
        <f t="shared" si="29"/>
        <v>0</v>
      </c>
    </row>
    <row r="12" spans="1:61" x14ac:dyDescent="0.2">
      <c r="A12" s="74" t="s">
        <v>608</v>
      </c>
      <c r="B12" s="75">
        <v>100</v>
      </c>
      <c r="C12" s="75">
        <f t="shared" si="26"/>
        <v>0</v>
      </c>
      <c r="D12" s="75">
        <f t="shared" si="26"/>
        <v>0</v>
      </c>
      <c r="E12" s="75">
        <f t="shared" si="26"/>
        <v>0</v>
      </c>
      <c r="F12" s="75">
        <f t="shared" si="26"/>
        <v>0</v>
      </c>
      <c r="G12" s="75">
        <f t="shared" si="26"/>
        <v>0</v>
      </c>
      <c r="H12" s="75">
        <f t="shared" si="26"/>
        <v>0</v>
      </c>
      <c r="I12" s="75">
        <f t="shared" si="26"/>
        <v>0</v>
      </c>
      <c r="J12" s="75">
        <f t="shared" si="26"/>
        <v>0</v>
      </c>
      <c r="K12" s="75">
        <f t="shared" si="26"/>
        <v>0</v>
      </c>
      <c r="L12" s="75">
        <f t="shared" si="26"/>
        <v>0</v>
      </c>
      <c r="M12" s="75">
        <f t="shared" si="26"/>
        <v>0</v>
      </c>
      <c r="N12" s="75">
        <f t="shared" si="26"/>
        <v>0</v>
      </c>
      <c r="O12" s="75">
        <f xml:space="preserve"> $B12 * O$10</f>
        <v>0</v>
      </c>
      <c r="P12" s="75">
        <f t="shared" si="27"/>
        <v>0</v>
      </c>
      <c r="Q12" s="75">
        <f t="shared" si="27"/>
        <v>0</v>
      </c>
      <c r="R12" s="75">
        <f t="shared" si="27"/>
        <v>0</v>
      </c>
      <c r="S12" s="75">
        <f t="shared" si="27"/>
        <v>0</v>
      </c>
      <c r="T12" s="75">
        <f t="shared" si="27"/>
        <v>0</v>
      </c>
      <c r="U12" s="75">
        <f t="shared" si="27"/>
        <v>0</v>
      </c>
      <c r="V12" s="75">
        <f t="shared" si="27"/>
        <v>0</v>
      </c>
      <c r="W12" s="75">
        <f t="shared" si="27"/>
        <v>0</v>
      </c>
      <c r="X12" s="75">
        <f t="shared" si="27"/>
        <v>0</v>
      </c>
      <c r="Y12" s="75">
        <f t="shared" si="27"/>
        <v>0</v>
      </c>
      <c r="Z12" s="75">
        <f t="shared" si="27"/>
        <v>0</v>
      </c>
      <c r="AA12" s="75">
        <f t="shared" si="27"/>
        <v>0</v>
      </c>
      <c r="AB12" s="75">
        <f t="shared" si="27"/>
        <v>0</v>
      </c>
      <c r="AC12" s="75">
        <f t="shared" si="27"/>
        <v>0</v>
      </c>
      <c r="AD12" s="75">
        <f t="shared" si="27"/>
        <v>0</v>
      </c>
      <c r="AE12" s="75">
        <f t="shared" si="27"/>
        <v>0</v>
      </c>
      <c r="AF12" s="75">
        <f t="shared" si="27"/>
        <v>0</v>
      </c>
      <c r="AG12" s="75">
        <f t="shared" si="27"/>
        <v>0</v>
      </c>
      <c r="AH12" s="75">
        <f t="shared" si="27"/>
        <v>0</v>
      </c>
      <c r="AI12" s="75">
        <f t="shared" si="27"/>
        <v>0</v>
      </c>
      <c r="AJ12" s="75">
        <f t="shared" si="27"/>
        <v>0</v>
      </c>
      <c r="AK12" s="75">
        <f t="shared" si="27"/>
        <v>0</v>
      </c>
      <c r="AL12" s="75">
        <f t="shared" si="27"/>
        <v>0</v>
      </c>
      <c r="AM12" s="75">
        <f t="shared" si="27"/>
        <v>0</v>
      </c>
      <c r="AN12" s="75">
        <f t="shared" si="27"/>
        <v>0</v>
      </c>
      <c r="AO12" s="75">
        <f t="shared" si="27"/>
        <v>0</v>
      </c>
      <c r="AP12" s="75">
        <f t="shared" si="28"/>
        <v>0</v>
      </c>
      <c r="AQ12" s="75">
        <f t="shared" si="28"/>
        <v>0</v>
      </c>
      <c r="AR12" s="75">
        <f t="shared" si="28"/>
        <v>0</v>
      </c>
      <c r="AS12" s="75">
        <f t="shared" si="28"/>
        <v>0</v>
      </c>
      <c r="AT12" s="75">
        <f t="shared" si="28"/>
        <v>0</v>
      </c>
      <c r="AU12" s="75">
        <f t="shared" si="28"/>
        <v>0</v>
      </c>
      <c r="AV12" s="75">
        <f t="shared" si="28"/>
        <v>0</v>
      </c>
      <c r="AW12" s="75">
        <f t="shared" si="28"/>
        <v>0</v>
      </c>
      <c r="AX12" s="75">
        <f t="shared" si="28"/>
        <v>0</v>
      </c>
      <c r="AY12" s="75">
        <f t="shared" si="28"/>
        <v>0</v>
      </c>
      <c r="AZ12" s="75">
        <f t="shared" si="28"/>
        <v>0</v>
      </c>
      <c r="BA12" s="75">
        <f t="shared" si="28"/>
        <v>0</v>
      </c>
      <c r="BB12" s="75">
        <f t="shared" si="29"/>
        <v>0</v>
      </c>
      <c r="BC12" s="75">
        <f t="shared" si="29"/>
        <v>0</v>
      </c>
      <c r="BD12" s="75">
        <f t="shared" si="29"/>
        <v>0</v>
      </c>
      <c r="BE12" s="75">
        <f t="shared" si="29"/>
        <v>0</v>
      </c>
      <c r="BF12" s="75">
        <f t="shared" si="29"/>
        <v>0</v>
      </c>
      <c r="BG12" s="75">
        <f t="shared" si="29"/>
        <v>0</v>
      </c>
      <c r="BH12" s="75">
        <f t="shared" si="29"/>
        <v>0</v>
      </c>
    </row>
    <row r="13" spans="1:61" s="79" customFormat="1" x14ac:dyDescent="0.2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</row>
    <row r="14" spans="1:61" x14ac:dyDescent="0.2">
      <c r="A14" s="1" t="s">
        <v>577</v>
      </c>
      <c r="B14" s="31"/>
    </row>
    <row r="15" spans="1:61" x14ac:dyDescent="0.2">
      <c r="A15" t="s">
        <v>445</v>
      </c>
      <c r="B15" s="31"/>
      <c r="C15" s="94">
        <f t="shared" ref="C15:AI15" si="30" xml:space="preserve"> D16</f>
        <v>1</v>
      </c>
      <c r="D15" s="94">
        <f t="shared" si="30"/>
        <v>0</v>
      </c>
      <c r="E15" s="94">
        <f t="shared" si="30"/>
        <v>4</v>
      </c>
      <c r="F15" s="94">
        <f t="shared" si="30"/>
        <v>4</v>
      </c>
      <c r="G15" s="94">
        <f t="shared" si="30"/>
        <v>4</v>
      </c>
      <c r="H15" s="94">
        <f t="shared" si="30"/>
        <v>4</v>
      </c>
      <c r="I15" s="94">
        <f t="shared" si="30"/>
        <v>4</v>
      </c>
      <c r="J15" s="94">
        <f t="shared" si="30"/>
        <v>4</v>
      </c>
      <c r="K15" s="94">
        <f t="shared" si="30"/>
        <v>0</v>
      </c>
      <c r="L15" s="94">
        <f t="shared" si="30"/>
        <v>0</v>
      </c>
      <c r="M15" s="94">
        <f t="shared" si="30"/>
        <v>0</v>
      </c>
      <c r="N15" s="94">
        <f t="shared" si="30"/>
        <v>0</v>
      </c>
      <c r="O15" s="94">
        <f t="shared" si="30"/>
        <v>0</v>
      </c>
      <c r="P15" s="94">
        <f t="shared" si="30"/>
        <v>0</v>
      </c>
      <c r="Q15" s="94">
        <f t="shared" si="30"/>
        <v>0</v>
      </c>
      <c r="R15" s="94">
        <f t="shared" si="30"/>
        <v>0</v>
      </c>
      <c r="S15" s="94">
        <f t="shared" si="30"/>
        <v>0</v>
      </c>
      <c r="T15" s="94">
        <f t="shared" si="30"/>
        <v>0</v>
      </c>
      <c r="U15" s="94">
        <f t="shared" si="30"/>
        <v>0</v>
      </c>
      <c r="V15" s="94">
        <f t="shared" si="30"/>
        <v>0</v>
      </c>
      <c r="W15" s="94">
        <f t="shared" si="30"/>
        <v>0</v>
      </c>
      <c r="X15" s="94">
        <f t="shared" si="30"/>
        <v>0</v>
      </c>
      <c r="Y15" s="94">
        <f t="shared" si="30"/>
        <v>0</v>
      </c>
      <c r="Z15" s="94">
        <f t="shared" si="30"/>
        <v>0</v>
      </c>
      <c r="AA15" s="94">
        <f t="shared" si="30"/>
        <v>0</v>
      </c>
      <c r="AB15" s="94">
        <f t="shared" si="30"/>
        <v>0</v>
      </c>
      <c r="AC15" s="94">
        <f t="shared" si="30"/>
        <v>0</v>
      </c>
      <c r="AD15" s="94">
        <f t="shared" si="30"/>
        <v>0</v>
      </c>
      <c r="AE15" s="94">
        <f t="shared" si="30"/>
        <v>0</v>
      </c>
      <c r="AF15" s="94">
        <f t="shared" si="30"/>
        <v>0</v>
      </c>
      <c r="AG15" s="94">
        <f t="shared" si="30"/>
        <v>0</v>
      </c>
      <c r="AH15" s="94">
        <f t="shared" si="30"/>
        <v>0</v>
      </c>
      <c r="AI15" s="94">
        <f t="shared" si="30"/>
        <v>0</v>
      </c>
      <c r="AJ15" s="94">
        <f xml:space="preserve"> AK16</f>
        <v>0</v>
      </c>
      <c r="AK15" s="94">
        <f xml:space="preserve"> AL16</f>
        <v>4</v>
      </c>
      <c r="AL15" s="94">
        <f xml:space="preserve"> AM16</f>
        <v>4</v>
      </c>
      <c r="AM15" s="94">
        <f t="shared" ref="AM15:BH15" si="31" xml:space="preserve"> AN16</f>
        <v>4</v>
      </c>
      <c r="AN15" s="94">
        <f t="shared" si="31"/>
        <v>0</v>
      </c>
      <c r="AO15" s="94">
        <f t="shared" si="31"/>
        <v>0</v>
      </c>
      <c r="AP15" s="94">
        <f t="shared" si="31"/>
        <v>0</v>
      </c>
      <c r="AQ15" s="94">
        <f t="shared" si="31"/>
        <v>0</v>
      </c>
      <c r="AR15" s="94">
        <f t="shared" si="31"/>
        <v>0</v>
      </c>
      <c r="AS15" s="94">
        <f t="shared" si="31"/>
        <v>0</v>
      </c>
      <c r="AT15" s="94">
        <f t="shared" si="31"/>
        <v>0</v>
      </c>
      <c r="AU15" s="94">
        <f t="shared" si="31"/>
        <v>0</v>
      </c>
      <c r="AV15" s="94">
        <f t="shared" si="31"/>
        <v>0</v>
      </c>
      <c r="AW15" s="94">
        <f t="shared" si="31"/>
        <v>0</v>
      </c>
      <c r="AX15" s="94">
        <f t="shared" si="31"/>
        <v>0</v>
      </c>
      <c r="AY15" s="94">
        <f t="shared" si="31"/>
        <v>0</v>
      </c>
      <c r="AZ15" s="94">
        <f t="shared" si="31"/>
        <v>0</v>
      </c>
      <c r="BA15" s="94">
        <f t="shared" si="31"/>
        <v>0</v>
      </c>
      <c r="BB15" s="94">
        <f t="shared" si="31"/>
        <v>0</v>
      </c>
      <c r="BC15" s="94">
        <f t="shared" si="31"/>
        <v>0</v>
      </c>
      <c r="BD15" s="94">
        <f t="shared" si="31"/>
        <v>0</v>
      </c>
      <c r="BE15" s="94">
        <f t="shared" si="31"/>
        <v>0</v>
      </c>
      <c r="BF15" s="94">
        <f t="shared" si="31"/>
        <v>0</v>
      </c>
      <c r="BG15" s="94">
        <f t="shared" si="31"/>
        <v>0</v>
      </c>
      <c r="BH15" s="94">
        <f t="shared" si="31"/>
        <v>0</v>
      </c>
    </row>
    <row r="16" spans="1:61" x14ac:dyDescent="0.2">
      <c r="A16" t="s">
        <v>446</v>
      </c>
      <c r="B16" s="31"/>
      <c r="C16" s="94">
        <f xml:space="preserve"> IF(D17-C17&gt;0, D17-C17, IF(D17-C17&lt;0, 4, 0))</f>
        <v>0</v>
      </c>
      <c r="D16" s="94">
        <f t="shared" ref="D16:BH16" si="32" xml:space="preserve"> IF(E17-D17&gt;0, E17-D17, IF(E17-D17&lt;0, 4, 0))</f>
        <v>1</v>
      </c>
      <c r="E16" s="94">
        <f t="shared" si="32"/>
        <v>0</v>
      </c>
      <c r="F16" s="94">
        <f t="shared" si="32"/>
        <v>4</v>
      </c>
      <c r="G16" s="94">
        <f t="shared" si="32"/>
        <v>4</v>
      </c>
      <c r="H16" s="94">
        <f t="shared" si="32"/>
        <v>4</v>
      </c>
      <c r="I16" s="94">
        <f t="shared" si="32"/>
        <v>4</v>
      </c>
      <c r="J16" s="94">
        <f t="shared" si="32"/>
        <v>4</v>
      </c>
      <c r="K16" s="94">
        <f t="shared" si="32"/>
        <v>4</v>
      </c>
      <c r="L16" s="94">
        <f t="shared" si="32"/>
        <v>0</v>
      </c>
      <c r="M16" s="94">
        <f t="shared" si="32"/>
        <v>0</v>
      </c>
      <c r="N16" s="94">
        <f t="shared" si="32"/>
        <v>0</v>
      </c>
      <c r="O16" s="94">
        <f t="shared" si="32"/>
        <v>0</v>
      </c>
      <c r="P16" s="94">
        <f t="shared" si="32"/>
        <v>0</v>
      </c>
      <c r="Q16" s="94">
        <f t="shared" si="32"/>
        <v>0</v>
      </c>
      <c r="R16" s="94">
        <f t="shared" si="32"/>
        <v>0</v>
      </c>
      <c r="S16" s="94">
        <f t="shared" si="32"/>
        <v>0</v>
      </c>
      <c r="T16" s="94">
        <f t="shared" si="32"/>
        <v>0</v>
      </c>
      <c r="U16" s="94">
        <f t="shared" si="32"/>
        <v>0</v>
      </c>
      <c r="V16" s="94">
        <f t="shared" si="32"/>
        <v>0</v>
      </c>
      <c r="W16" s="94">
        <f t="shared" si="32"/>
        <v>0</v>
      </c>
      <c r="X16" s="94">
        <f t="shared" si="32"/>
        <v>0</v>
      </c>
      <c r="Y16" s="94">
        <f t="shared" si="32"/>
        <v>0</v>
      </c>
      <c r="Z16" s="94">
        <f t="shared" si="32"/>
        <v>0</v>
      </c>
      <c r="AA16" s="94">
        <f t="shared" si="32"/>
        <v>0</v>
      </c>
      <c r="AB16" s="94">
        <f t="shared" si="32"/>
        <v>0</v>
      </c>
      <c r="AC16" s="94">
        <f t="shared" si="32"/>
        <v>0</v>
      </c>
      <c r="AD16" s="94">
        <f t="shared" si="32"/>
        <v>0</v>
      </c>
      <c r="AE16" s="94">
        <f t="shared" si="32"/>
        <v>0</v>
      </c>
      <c r="AF16" s="94">
        <f t="shared" si="32"/>
        <v>0</v>
      </c>
      <c r="AG16" s="94">
        <f t="shared" si="32"/>
        <v>0</v>
      </c>
      <c r="AH16" s="94">
        <f t="shared" si="32"/>
        <v>0</v>
      </c>
      <c r="AI16" s="94">
        <f t="shared" si="32"/>
        <v>0</v>
      </c>
      <c r="AJ16" s="94">
        <f t="shared" si="32"/>
        <v>0</v>
      </c>
      <c r="AK16" s="94">
        <f t="shared" si="32"/>
        <v>0</v>
      </c>
      <c r="AL16" s="94">
        <f t="shared" si="32"/>
        <v>4</v>
      </c>
      <c r="AM16" s="94">
        <f t="shared" si="32"/>
        <v>4</v>
      </c>
      <c r="AN16" s="94">
        <f t="shared" si="32"/>
        <v>4</v>
      </c>
      <c r="AO16" s="94">
        <f t="shared" si="32"/>
        <v>0</v>
      </c>
      <c r="AP16" s="94">
        <f t="shared" si="32"/>
        <v>0</v>
      </c>
      <c r="AQ16" s="94">
        <f t="shared" si="32"/>
        <v>0</v>
      </c>
      <c r="AR16" s="94">
        <f t="shared" si="32"/>
        <v>0</v>
      </c>
      <c r="AS16" s="94">
        <f t="shared" si="32"/>
        <v>0</v>
      </c>
      <c r="AT16" s="94">
        <f t="shared" si="32"/>
        <v>0</v>
      </c>
      <c r="AU16" s="94">
        <f t="shared" si="32"/>
        <v>0</v>
      </c>
      <c r="AV16" s="94">
        <f t="shared" si="32"/>
        <v>0</v>
      </c>
      <c r="AW16" s="94">
        <f t="shared" si="32"/>
        <v>0</v>
      </c>
      <c r="AX16" s="94">
        <f t="shared" si="32"/>
        <v>0</v>
      </c>
      <c r="AY16" s="94">
        <f t="shared" si="32"/>
        <v>0</v>
      </c>
      <c r="AZ16" s="94">
        <f t="shared" si="32"/>
        <v>0</v>
      </c>
      <c r="BA16" s="94">
        <f t="shared" si="32"/>
        <v>0</v>
      </c>
      <c r="BB16" s="94">
        <f t="shared" si="32"/>
        <v>0</v>
      </c>
      <c r="BC16" s="94">
        <f t="shared" si="32"/>
        <v>0</v>
      </c>
      <c r="BD16" s="94">
        <f t="shared" si="32"/>
        <v>0</v>
      </c>
      <c r="BE16" s="94">
        <f t="shared" si="32"/>
        <v>0</v>
      </c>
      <c r="BF16" s="94">
        <f t="shared" si="32"/>
        <v>0</v>
      </c>
      <c r="BG16" s="94">
        <f t="shared" si="32"/>
        <v>0</v>
      </c>
      <c r="BH16" s="94">
        <f t="shared" si="32"/>
        <v>0</v>
      </c>
    </row>
    <row r="17" spans="1:61" x14ac:dyDescent="0.2">
      <c r="A17" t="s">
        <v>447</v>
      </c>
      <c r="B17" s="31"/>
      <c r="C17">
        <f xml:space="preserve"> 4 * C55 + C43</f>
        <v>0</v>
      </c>
      <c r="D17">
        <f t="shared" ref="D17:BH17" si="33" xml:space="preserve"> 4 * D55 + D43</f>
        <v>0</v>
      </c>
      <c r="E17">
        <f t="shared" si="33"/>
        <v>1</v>
      </c>
      <c r="F17">
        <f t="shared" si="33"/>
        <v>1</v>
      </c>
      <c r="G17">
        <f t="shared" si="33"/>
        <v>5</v>
      </c>
      <c r="H17">
        <f t="shared" si="33"/>
        <v>9</v>
      </c>
      <c r="I17">
        <f t="shared" si="33"/>
        <v>13</v>
      </c>
      <c r="J17">
        <f t="shared" si="33"/>
        <v>17</v>
      </c>
      <c r="K17">
        <f t="shared" si="33"/>
        <v>21</v>
      </c>
      <c r="L17">
        <f t="shared" si="33"/>
        <v>25</v>
      </c>
      <c r="M17">
        <f t="shared" si="33"/>
        <v>25</v>
      </c>
      <c r="N17">
        <f t="shared" si="33"/>
        <v>25</v>
      </c>
      <c r="O17">
        <f t="shared" si="33"/>
        <v>25</v>
      </c>
      <c r="P17">
        <f t="shared" si="33"/>
        <v>25</v>
      </c>
      <c r="Q17">
        <f t="shared" si="33"/>
        <v>25</v>
      </c>
      <c r="R17">
        <f t="shared" si="33"/>
        <v>25</v>
      </c>
      <c r="S17">
        <f t="shared" si="33"/>
        <v>25</v>
      </c>
      <c r="T17">
        <f t="shared" si="33"/>
        <v>25</v>
      </c>
      <c r="U17">
        <f t="shared" si="33"/>
        <v>25</v>
      </c>
      <c r="V17">
        <f t="shared" si="33"/>
        <v>25</v>
      </c>
      <c r="W17">
        <f t="shared" si="33"/>
        <v>25</v>
      </c>
      <c r="X17">
        <f t="shared" si="33"/>
        <v>25</v>
      </c>
      <c r="Y17">
        <f t="shared" si="33"/>
        <v>25</v>
      </c>
      <c r="Z17">
        <f t="shared" si="33"/>
        <v>25</v>
      </c>
      <c r="AA17">
        <f t="shared" si="33"/>
        <v>25</v>
      </c>
      <c r="AB17">
        <f t="shared" si="33"/>
        <v>25</v>
      </c>
      <c r="AC17">
        <f t="shared" si="33"/>
        <v>25</v>
      </c>
      <c r="AD17">
        <f t="shared" si="33"/>
        <v>25</v>
      </c>
      <c r="AE17">
        <f t="shared" si="33"/>
        <v>25</v>
      </c>
      <c r="AF17">
        <f t="shared" si="33"/>
        <v>25</v>
      </c>
      <c r="AG17">
        <f t="shared" si="33"/>
        <v>25</v>
      </c>
      <c r="AH17">
        <f t="shared" si="33"/>
        <v>25</v>
      </c>
      <c r="AI17">
        <f t="shared" si="33"/>
        <v>25</v>
      </c>
      <c r="AJ17">
        <f t="shared" si="33"/>
        <v>25</v>
      </c>
      <c r="AK17">
        <f t="shared" si="33"/>
        <v>25</v>
      </c>
      <c r="AL17">
        <f t="shared" si="33"/>
        <v>25</v>
      </c>
      <c r="AM17">
        <f t="shared" si="33"/>
        <v>21</v>
      </c>
      <c r="AN17">
        <f t="shared" si="33"/>
        <v>17</v>
      </c>
      <c r="AO17">
        <f t="shared" si="33"/>
        <v>13</v>
      </c>
      <c r="AP17">
        <f t="shared" si="33"/>
        <v>13</v>
      </c>
      <c r="AQ17">
        <f t="shared" si="33"/>
        <v>13</v>
      </c>
      <c r="AR17">
        <f t="shared" si="33"/>
        <v>13</v>
      </c>
      <c r="AS17">
        <f t="shared" si="33"/>
        <v>13</v>
      </c>
      <c r="AT17">
        <f t="shared" si="33"/>
        <v>13</v>
      </c>
      <c r="AU17">
        <f t="shared" si="33"/>
        <v>13</v>
      </c>
      <c r="AV17">
        <f t="shared" si="33"/>
        <v>13</v>
      </c>
      <c r="AW17">
        <f t="shared" si="33"/>
        <v>13</v>
      </c>
      <c r="AX17">
        <f t="shared" si="33"/>
        <v>13</v>
      </c>
      <c r="AY17">
        <f t="shared" si="33"/>
        <v>13</v>
      </c>
      <c r="AZ17">
        <f t="shared" si="33"/>
        <v>13</v>
      </c>
      <c r="BA17">
        <f t="shared" si="33"/>
        <v>13</v>
      </c>
      <c r="BB17">
        <f t="shared" si="33"/>
        <v>13</v>
      </c>
      <c r="BC17">
        <f t="shared" si="33"/>
        <v>13</v>
      </c>
      <c r="BD17">
        <f t="shared" si="33"/>
        <v>13</v>
      </c>
      <c r="BE17">
        <f t="shared" si="33"/>
        <v>13</v>
      </c>
      <c r="BF17">
        <f t="shared" si="33"/>
        <v>13</v>
      </c>
      <c r="BG17">
        <f t="shared" si="33"/>
        <v>13</v>
      </c>
      <c r="BH17">
        <f t="shared" si="33"/>
        <v>13</v>
      </c>
      <c r="BI17">
        <f xml:space="preserve"> BH17</f>
        <v>13</v>
      </c>
    </row>
    <row r="18" spans="1:61" s="74" customFormat="1" x14ac:dyDescent="0.2">
      <c r="A18" s="74" t="s">
        <v>448</v>
      </c>
      <c r="B18" s="121"/>
      <c r="C18" s="75">
        <f>C16*'Levellized Salt Sep Plant'!$C$4</f>
        <v>0</v>
      </c>
      <c r="D18" s="75">
        <f>D16*'Levellized Salt Sep Plant'!$C$4</f>
        <v>16500000</v>
      </c>
      <c r="E18" s="75">
        <f>E16*'Levellized Salt Sep Plant'!$C$4</f>
        <v>0</v>
      </c>
      <c r="F18" s="75">
        <f>F16*'Levellized Salt Sep Plant'!$C$4</f>
        <v>66000000</v>
      </c>
      <c r="G18" s="75">
        <f>G16*'Levellized Salt Sep Plant'!$C$4</f>
        <v>66000000</v>
      </c>
      <c r="H18" s="75">
        <f>H16*'Levellized Salt Sep Plant'!$C$4</f>
        <v>66000000</v>
      </c>
      <c r="I18" s="75">
        <f>I16*'Levellized Salt Sep Plant'!$C$4</f>
        <v>66000000</v>
      </c>
      <c r="J18" s="75">
        <f>J16*'Levellized Salt Sep Plant'!$C$4</f>
        <v>66000000</v>
      </c>
      <c r="K18" s="75">
        <f>K16*'Levellized Salt Sep Plant'!$C$4</f>
        <v>66000000</v>
      </c>
      <c r="L18" s="75">
        <f>L16*'Levellized Salt Sep Plant'!$C$4</f>
        <v>0</v>
      </c>
      <c r="M18" s="75">
        <f>M16*'Levellized Salt Sep Plant'!$C$4</f>
        <v>0</v>
      </c>
      <c r="N18" s="75">
        <f>N16*'Levellized Salt Sep Plant'!$C$4</f>
        <v>0</v>
      </c>
      <c r="O18" s="75">
        <f>O16*'Levellized Salt Sep Plant'!$C$4</f>
        <v>0</v>
      </c>
      <c r="P18" s="75">
        <f>P16*'Levellized Salt Sep Plant'!$C$4</f>
        <v>0</v>
      </c>
      <c r="Q18" s="75">
        <f>Q16*'Levellized Salt Sep Plant'!$C$4</f>
        <v>0</v>
      </c>
      <c r="R18" s="75">
        <f>R16*'Levellized Salt Sep Plant'!$C$4</f>
        <v>0</v>
      </c>
      <c r="S18" s="75">
        <f>S16*'Levellized Salt Sep Plant'!$C$4</f>
        <v>0</v>
      </c>
      <c r="T18" s="75">
        <f>T16*'Levellized Salt Sep Plant'!$C$4</f>
        <v>0</v>
      </c>
      <c r="U18" s="75">
        <f>U16*'Levellized Salt Sep Plant'!$C$4</f>
        <v>0</v>
      </c>
      <c r="V18" s="75">
        <f>V16*'Levellized Salt Sep Plant'!$C$4</f>
        <v>0</v>
      </c>
      <c r="W18" s="75">
        <f>W16*'Levellized Salt Sep Plant'!$C$4</f>
        <v>0</v>
      </c>
      <c r="X18" s="75">
        <f>X16*'Levellized Salt Sep Plant'!$C$4</f>
        <v>0</v>
      </c>
      <c r="Y18" s="75">
        <f>Y16*'Levellized Salt Sep Plant'!$C$4</f>
        <v>0</v>
      </c>
      <c r="Z18" s="75">
        <f>Z16*'Levellized Salt Sep Plant'!$C$4</f>
        <v>0</v>
      </c>
      <c r="AA18" s="75">
        <f>AA16*'Levellized Salt Sep Plant'!$C$4</f>
        <v>0</v>
      </c>
      <c r="AB18" s="75">
        <f>AB16*'Levellized Salt Sep Plant'!$C$4</f>
        <v>0</v>
      </c>
      <c r="AC18" s="75">
        <f>AC16*'Levellized Salt Sep Plant'!$C$4</f>
        <v>0</v>
      </c>
      <c r="AD18" s="75">
        <f>AD16*'Levellized Salt Sep Plant'!$C$4</f>
        <v>0</v>
      </c>
      <c r="AE18" s="75">
        <f>AE16*'Levellized Salt Sep Plant'!$C$4</f>
        <v>0</v>
      </c>
      <c r="AF18" s="75">
        <f>AF16*'Levellized Salt Sep Plant'!$C$4</f>
        <v>0</v>
      </c>
      <c r="AG18" s="75">
        <f>AG16*'Levellized Salt Sep Plant'!$C$4</f>
        <v>0</v>
      </c>
      <c r="AH18" s="75">
        <f>AH16*'Levellized Salt Sep Plant'!$C$4</f>
        <v>0</v>
      </c>
      <c r="AI18" s="75">
        <f>AI16*'Levellized Salt Sep Plant'!$C$4</f>
        <v>0</v>
      </c>
      <c r="AJ18" s="75">
        <f>AJ16*'Levellized Salt Sep Plant'!$C$4</f>
        <v>0</v>
      </c>
      <c r="AK18" s="75">
        <f>AK16*'Levellized Salt Sep Plant'!$C$4</f>
        <v>0</v>
      </c>
      <c r="AL18" s="75">
        <f>AL16*'Levellized Salt Sep Plant'!$C$4</f>
        <v>66000000</v>
      </c>
      <c r="AM18" s="75">
        <f>AM16*'Levellized Salt Sep Plant'!$C$4</f>
        <v>66000000</v>
      </c>
      <c r="AN18" s="75">
        <f>AN16*'Levellized Salt Sep Plant'!$C$4</f>
        <v>66000000</v>
      </c>
      <c r="AO18" s="75">
        <f>AO16*'Levellized Salt Sep Plant'!$C$4</f>
        <v>0</v>
      </c>
      <c r="AP18" s="75">
        <f>AP16*'Levellized Salt Sep Plant'!$C$4</f>
        <v>0</v>
      </c>
      <c r="AQ18" s="75">
        <f>AQ16*'Levellized Salt Sep Plant'!$C$4</f>
        <v>0</v>
      </c>
      <c r="AR18" s="75">
        <f>AR16*'Levellized Salt Sep Plant'!$C$4</f>
        <v>0</v>
      </c>
      <c r="AS18" s="75">
        <f>AS16*'Levellized Salt Sep Plant'!$C$4</f>
        <v>0</v>
      </c>
      <c r="AT18" s="75">
        <f>AT16*'Levellized Salt Sep Plant'!$C$4</f>
        <v>0</v>
      </c>
      <c r="AU18" s="75">
        <f>AU16*'Levellized Salt Sep Plant'!$C$4</f>
        <v>0</v>
      </c>
      <c r="AV18" s="75">
        <f>AV16*'Levellized Salt Sep Plant'!$C$4</f>
        <v>0</v>
      </c>
      <c r="AW18" s="75">
        <f>AW16*'Levellized Salt Sep Plant'!$C$4</f>
        <v>0</v>
      </c>
      <c r="AX18" s="75">
        <f>AX16*'Levellized Salt Sep Plant'!$C$4</f>
        <v>0</v>
      </c>
      <c r="AY18" s="75">
        <f>AY16*'Levellized Salt Sep Plant'!$C$4</f>
        <v>0</v>
      </c>
      <c r="AZ18" s="75">
        <f>AZ16*'Levellized Salt Sep Plant'!$C$4</f>
        <v>0</v>
      </c>
      <c r="BA18" s="75">
        <f>BA16*'Levellized Salt Sep Plant'!$C$4</f>
        <v>0</v>
      </c>
      <c r="BB18" s="75">
        <f>BB16*'Levellized Salt Sep Plant'!$C$4</f>
        <v>0</v>
      </c>
      <c r="BC18" s="75">
        <f>BC16*'Levellized Salt Sep Plant'!$C$4</f>
        <v>0</v>
      </c>
      <c r="BD18" s="75">
        <f>BD16*'Levellized Salt Sep Plant'!$C$4</f>
        <v>0</v>
      </c>
      <c r="BE18" s="75">
        <f>BE16*'Levellized Salt Sep Plant'!$C$4</f>
        <v>0</v>
      </c>
      <c r="BF18" s="75">
        <f>BF16*'Levellized Salt Sep Plant'!$C$4</f>
        <v>0</v>
      </c>
      <c r="BG18" s="75">
        <f>BG16*'Levellized Salt Sep Plant'!$C$4</f>
        <v>0</v>
      </c>
      <c r="BH18" s="75">
        <f>BH16*'Levellized Salt Sep Plant'!$C$4</f>
        <v>0</v>
      </c>
      <c r="BI18" s="75"/>
    </row>
    <row r="19" spans="1:61" s="74" customFormat="1" x14ac:dyDescent="0.2">
      <c r="A19" s="74" t="s">
        <v>449</v>
      </c>
      <c r="B19" s="121"/>
      <c r="C19" s="75">
        <f>C17*'Levellized Salt Sep Plant'!$C$25</f>
        <v>0</v>
      </c>
      <c r="D19" s="75">
        <f>D17*'Levellized Salt Sep Plant'!$C$25</f>
        <v>0</v>
      </c>
      <c r="E19" s="75">
        <f>E17*'Levellized Salt Sep Plant'!$C$25</f>
        <v>1894484.9344000001</v>
      </c>
      <c r="F19" s="75">
        <f>F17*'Levellized Salt Sep Plant'!$C$25</f>
        <v>1894484.9344000001</v>
      </c>
      <c r="G19" s="75">
        <f>G17*'Levellized Salt Sep Plant'!$C$25</f>
        <v>9472424.6720000003</v>
      </c>
      <c r="H19" s="75">
        <f>H17*'Levellized Salt Sep Plant'!$C$25</f>
        <v>17050364.409600001</v>
      </c>
      <c r="I19" s="75">
        <f>I17*'Levellized Salt Sep Plant'!$C$25</f>
        <v>24628304.147200003</v>
      </c>
      <c r="J19" s="75">
        <f>J17*'Levellized Salt Sep Plant'!$C$25</f>
        <v>32206243.884800002</v>
      </c>
      <c r="K19" s="75">
        <f>K17*'Levellized Salt Sep Plant'!$C$25</f>
        <v>39784183.622400001</v>
      </c>
      <c r="L19" s="75">
        <f>L17*'Levellized Salt Sep Plant'!$C$25</f>
        <v>47362123.360000007</v>
      </c>
      <c r="M19" s="75">
        <f>M17*'Levellized Salt Sep Plant'!$C$25</f>
        <v>47362123.360000007</v>
      </c>
      <c r="N19" s="75">
        <f>N17*'Levellized Salt Sep Plant'!$C$25</f>
        <v>47362123.360000007</v>
      </c>
      <c r="O19" s="75">
        <f>O17*'Levellized Salt Sep Plant'!$C$25</f>
        <v>47362123.360000007</v>
      </c>
      <c r="P19" s="75">
        <f>P17*'Levellized Salt Sep Plant'!$C$25</f>
        <v>47362123.360000007</v>
      </c>
      <c r="Q19" s="75">
        <f>Q17*'Levellized Salt Sep Plant'!$C$25</f>
        <v>47362123.360000007</v>
      </c>
      <c r="R19" s="75">
        <f>R17*'Levellized Salt Sep Plant'!$C$25</f>
        <v>47362123.360000007</v>
      </c>
      <c r="S19" s="75">
        <f>S17*'Levellized Salt Sep Plant'!$C$25</f>
        <v>47362123.360000007</v>
      </c>
      <c r="T19" s="75">
        <f>T17*'Levellized Salt Sep Plant'!$C$25</f>
        <v>47362123.360000007</v>
      </c>
      <c r="U19" s="75">
        <f>U17*'Levellized Salt Sep Plant'!$C$25</f>
        <v>47362123.360000007</v>
      </c>
      <c r="V19" s="75">
        <f>V17*'Levellized Salt Sep Plant'!$C$25</f>
        <v>47362123.360000007</v>
      </c>
      <c r="W19" s="75">
        <f>W17*'Levellized Salt Sep Plant'!$C$25</f>
        <v>47362123.360000007</v>
      </c>
      <c r="X19" s="75">
        <f>X17*'Levellized Salt Sep Plant'!$C$25</f>
        <v>47362123.360000007</v>
      </c>
      <c r="Y19" s="75">
        <f>Y17*'Levellized Salt Sep Plant'!$C$25</f>
        <v>47362123.360000007</v>
      </c>
      <c r="Z19" s="75">
        <f>Z17*'Levellized Salt Sep Plant'!$C$25</f>
        <v>47362123.360000007</v>
      </c>
      <c r="AA19" s="75">
        <f>AA17*'Levellized Salt Sep Plant'!$C$25</f>
        <v>47362123.360000007</v>
      </c>
      <c r="AB19" s="75">
        <f>AB17*'Levellized Salt Sep Plant'!$C$25</f>
        <v>47362123.360000007</v>
      </c>
      <c r="AC19" s="75">
        <f>AC17*'Levellized Salt Sep Plant'!$C$25</f>
        <v>47362123.360000007</v>
      </c>
      <c r="AD19" s="75">
        <f>AD17*'Levellized Salt Sep Plant'!$C$25</f>
        <v>47362123.360000007</v>
      </c>
      <c r="AE19" s="75">
        <f>AE17*'Levellized Salt Sep Plant'!$C$25</f>
        <v>47362123.360000007</v>
      </c>
      <c r="AF19" s="75">
        <f>AF17*'Levellized Salt Sep Plant'!$C$25</f>
        <v>47362123.360000007</v>
      </c>
      <c r="AG19" s="75">
        <f>AG17*'Levellized Salt Sep Plant'!$C$25</f>
        <v>47362123.360000007</v>
      </c>
      <c r="AH19" s="75">
        <f>AH17*'Levellized Salt Sep Plant'!$C$25</f>
        <v>47362123.360000007</v>
      </c>
      <c r="AI19" s="75">
        <f>AI17*'Levellized Salt Sep Plant'!$C$25</f>
        <v>47362123.360000007</v>
      </c>
      <c r="AJ19" s="75">
        <f>AJ17*'Levellized Salt Sep Plant'!$C$25</f>
        <v>47362123.360000007</v>
      </c>
      <c r="AK19" s="75">
        <f>AK17*'Levellized Salt Sep Plant'!$C$25</f>
        <v>47362123.360000007</v>
      </c>
      <c r="AL19" s="75">
        <f>AL17*'Levellized Salt Sep Plant'!$C$25</f>
        <v>47362123.360000007</v>
      </c>
      <c r="AM19" s="75">
        <f>AM17*'Levellized Salt Sep Plant'!$C$25</f>
        <v>39784183.622400001</v>
      </c>
      <c r="AN19" s="75">
        <f>AN17*'Levellized Salt Sep Plant'!$C$25</f>
        <v>32206243.884800002</v>
      </c>
      <c r="AO19" s="75">
        <f>AO17*'Levellized Salt Sep Plant'!$C$25</f>
        <v>24628304.147200003</v>
      </c>
      <c r="AP19" s="75">
        <f>AP17*'Levellized Salt Sep Plant'!$C$25</f>
        <v>24628304.147200003</v>
      </c>
      <c r="AQ19" s="75">
        <f>AQ17*'Levellized Salt Sep Plant'!$C$25</f>
        <v>24628304.147200003</v>
      </c>
      <c r="AR19" s="75">
        <f>AR17*'Levellized Salt Sep Plant'!$C$25</f>
        <v>24628304.147200003</v>
      </c>
      <c r="AS19" s="75">
        <f>AS17*'Levellized Salt Sep Plant'!$C$25</f>
        <v>24628304.147200003</v>
      </c>
      <c r="AT19" s="75">
        <f>AT17*'Levellized Salt Sep Plant'!$C$25</f>
        <v>24628304.147200003</v>
      </c>
      <c r="AU19" s="75">
        <f>AU17*'Levellized Salt Sep Plant'!$C$25</f>
        <v>24628304.147200003</v>
      </c>
      <c r="AV19" s="75">
        <f>AV17*'Levellized Salt Sep Plant'!$C$25</f>
        <v>24628304.147200003</v>
      </c>
      <c r="AW19" s="75">
        <f>AW17*'Levellized Salt Sep Plant'!$C$25</f>
        <v>24628304.147200003</v>
      </c>
      <c r="AX19" s="75">
        <f>AX17*'Levellized Salt Sep Plant'!$C$25</f>
        <v>24628304.147200003</v>
      </c>
      <c r="AY19" s="75">
        <f>AY17*'Levellized Salt Sep Plant'!$C$25</f>
        <v>24628304.147200003</v>
      </c>
      <c r="AZ19" s="75">
        <f>AZ17*'Levellized Salt Sep Plant'!$C$25</f>
        <v>24628304.147200003</v>
      </c>
      <c r="BA19" s="75">
        <f>BA17*'Levellized Salt Sep Plant'!$C$25</f>
        <v>24628304.147200003</v>
      </c>
      <c r="BB19" s="75">
        <f>BB17*'Levellized Salt Sep Plant'!$C$25</f>
        <v>24628304.147200003</v>
      </c>
      <c r="BC19" s="75">
        <f>BC17*'Levellized Salt Sep Plant'!$C$25</f>
        <v>24628304.147200003</v>
      </c>
      <c r="BD19" s="75">
        <f>BD17*'Levellized Salt Sep Plant'!$C$25</f>
        <v>24628304.147200003</v>
      </c>
      <c r="BE19" s="75">
        <f>BE17*'Levellized Salt Sep Plant'!$C$25</f>
        <v>24628304.147200003</v>
      </c>
      <c r="BF19" s="75">
        <f>BF17*'Levellized Salt Sep Plant'!$C$25</f>
        <v>24628304.147200003</v>
      </c>
      <c r="BG19" s="75">
        <f>BG17*'Levellized Salt Sep Plant'!$C$25</f>
        <v>24628304.147200003</v>
      </c>
      <c r="BH19" s="75">
        <f>BH17*'Levellized Salt Sep Plant'!$C$25</f>
        <v>24628304.147200003</v>
      </c>
      <c r="BI19" s="75"/>
    </row>
    <row r="20" spans="1:61" s="74" customFormat="1" x14ac:dyDescent="0.2">
      <c r="A20" s="74" t="s">
        <v>503</v>
      </c>
      <c r="B20" s="121"/>
      <c r="C20" s="75">
        <f>C17*'Levellized Salt Sep Plant'!$C$30</f>
        <v>0</v>
      </c>
      <c r="D20" s="75">
        <f>D17*'Levellized Salt Sep Plant'!$C$30</f>
        <v>0</v>
      </c>
      <c r="E20" s="75">
        <f>E17*'Levellized Salt Sep Plant'!$C$30</f>
        <v>778107</v>
      </c>
      <c r="F20" s="75">
        <f>F17*'Levellized Salt Sep Plant'!$C$30</f>
        <v>778107</v>
      </c>
      <c r="G20" s="75">
        <f>G17*'Levellized Salt Sep Plant'!$C$30</f>
        <v>3890535</v>
      </c>
      <c r="H20" s="75">
        <f>H17*'Levellized Salt Sep Plant'!$C$30</f>
        <v>7002963</v>
      </c>
      <c r="I20" s="75">
        <f>I17*'Levellized Salt Sep Plant'!$C$30</f>
        <v>10115391</v>
      </c>
      <c r="J20" s="75">
        <f>J17*'Levellized Salt Sep Plant'!$C$30</f>
        <v>13227819</v>
      </c>
      <c r="K20" s="75">
        <f>K17*'Levellized Salt Sep Plant'!$C$30</f>
        <v>16340247</v>
      </c>
      <c r="L20" s="75">
        <f>L17*'Levellized Salt Sep Plant'!$C$30</f>
        <v>19452675</v>
      </c>
      <c r="M20" s="75">
        <f>M17*'Levellized Salt Sep Plant'!$C$30</f>
        <v>19452675</v>
      </c>
      <c r="N20" s="75">
        <f>N17*'Levellized Salt Sep Plant'!$C$30</f>
        <v>19452675</v>
      </c>
      <c r="O20" s="75">
        <f>O17*'Levellized Salt Sep Plant'!$C$30</f>
        <v>19452675</v>
      </c>
      <c r="P20" s="75">
        <f>P17*'Levellized Salt Sep Plant'!$C$30</f>
        <v>19452675</v>
      </c>
      <c r="Q20" s="75">
        <f>Q17*'Levellized Salt Sep Plant'!$C$30</f>
        <v>19452675</v>
      </c>
      <c r="R20" s="75">
        <f>R17*'Levellized Salt Sep Plant'!$C$30</f>
        <v>19452675</v>
      </c>
      <c r="S20" s="75">
        <f>S17*'Levellized Salt Sep Plant'!$C$30</f>
        <v>19452675</v>
      </c>
      <c r="T20" s="75">
        <f>T17*'Levellized Salt Sep Plant'!$C$30</f>
        <v>19452675</v>
      </c>
      <c r="U20" s="75">
        <f>U17*'Levellized Salt Sep Plant'!$C$30</f>
        <v>19452675</v>
      </c>
      <c r="V20" s="75">
        <f>V17*'Levellized Salt Sep Plant'!$C$30</f>
        <v>19452675</v>
      </c>
      <c r="W20" s="75">
        <f>W17*'Levellized Salt Sep Plant'!$C$30</f>
        <v>19452675</v>
      </c>
      <c r="X20" s="75">
        <f>X17*'Levellized Salt Sep Plant'!$C$30</f>
        <v>19452675</v>
      </c>
      <c r="Y20" s="75">
        <f>Y17*'Levellized Salt Sep Plant'!$C$30</f>
        <v>19452675</v>
      </c>
      <c r="Z20" s="75">
        <f>Z17*'Levellized Salt Sep Plant'!$C$30</f>
        <v>19452675</v>
      </c>
      <c r="AA20" s="75">
        <f>AA17*'Levellized Salt Sep Plant'!$C$30</f>
        <v>19452675</v>
      </c>
      <c r="AB20" s="75">
        <f>AB17*'Levellized Salt Sep Plant'!$C$30</f>
        <v>19452675</v>
      </c>
      <c r="AC20" s="75">
        <f>AC17*'Levellized Salt Sep Plant'!$C$30</f>
        <v>19452675</v>
      </c>
      <c r="AD20" s="75">
        <f>AD17*'Levellized Salt Sep Plant'!$C$30</f>
        <v>19452675</v>
      </c>
      <c r="AE20" s="75">
        <f>AE17*'Levellized Salt Sep Plant'!$C$30</f>
        <v>19452675</v>
      </c>
      <c r="AF20" s="75">
        <f>AF17*'Levellized Salt Sep Plant'!$C$30</f>
        <v>19452675</v>
      </c>
      <c r="AG20" s="75">
        <f>AG17*'Levellized Salt Sep Plant'!$C$30</f>
        <v>19452675</v>
      </c>
      <c r="AH20" s="75">
        <f>AH17*'Levellized Salt Sep Plant'!$C$30</f>
        <v>19452675</v>
      </c>
      <c r="AI20" s="75">
        <f>AI17*'Levellized Salt Sep Plant'!$C$30</f>
        <v>19452675</v>
      </c>
      <c r="AJ20" s="75">
        <f>AJ17*'Levellized Salt Sep Plant'!$C$30</f>
        <v>19452675</v>
      </c>
      <c r="AK20" s="75">
        <f>AK17*'Levellized Salt Sep Plant'!$C$30</f>
        <v>19452675</v>
      </c>
      <c r="AL20" s="75">
        <f>AL17*'Levellized Salt Sep Plant'!$C$30</f>
        <v>19452675</v>
      </c>
      <c r="AM20" s="75">
        <f>AM17*'Levellized Salt Sep Plant'!$C$30</f>
        <v>16340247</v>
      </c>
      <c r="AN20" s="75">
        <f>AN17*'Levellized Salt Sep Plant'!$C$30</f>
        <v>13227819</v>
      </c>
      <c r="AO20" s="75">
        <f>AO17*'Levellized Salt Sep Plant'!$C$30</f>
        <v>10115391</v>
      </c>
      <c r="AP20" s="75">
        <f>AP17*'Levellized Salt Sep Plant'!$C$30</f>
        <v>10115391</v>
      </c>
      <c r="AQ20" s="75">
        <f>AQ17*'Levellized Salt Sep Plant'!$C$30</f>
        <v>10115391</v>
      </c>
      <c r="AR20" s="75">
        <f>AR17*'Levellized Salt Sep Plant'!$C$30</f>
        <v>10115391</v>
      </c>
      <c r="AS20" s="75">
        <f>AS17*'Levellized Salt Sep Plant'!$C$30</f>
        <v>10115391</v>
      </c>
      <c r="AT20" s="75">
        <f>AT17*'Levellized Salt Sep Plant'!$C$30</f>
        <v>10115391</v>
      </c>
      <c r="AU20" s="75">
        <f>AU17*'Levellized Salt Sep Plant'!$C$30</f>
        <v>10115391</v>
      </c>
      <c r="AV20" s="75">
        <f>AV17*'Levellized Salt Sep Plant'!$C$30</f>
        <v>10115391</v>
      </c>
      <c r="AW20" s="75">
        <f>AW17*'Levellized Salt Sep Plant'!$C$30</f>
        <v>10115391</v>
      </c>
      <c r="AX20" s="75">
        <f>AX17*'Levellized Salt Sep Plant'!$C$30</f>
        <v>10115391</v>
      </c>
      <c r="AY20" s="75">
        <f>AY17*'Levellized Salt Sep Plant'!$C$30</f>
        <v>10115391</v>
      </c>
      <c r="AZ20" s="75">
        <f>AZ17*'Levellized Salt Sep Plant'!$C$30</f>
        <v>10115391</v>
      </c>
      <c r="BA20" s="75">
        <f>BA17*'Levellized Salt Sep Plant'!$C$30</f>
        <v>10115391</v>
      </c>
      <c r="BB20" s="75">
        <f>BB17*'Levellized Salt Sep Plant'!$C$30</f>
        <v>10115391</v>
      </c>
      <c r="BC20" s="75">
        <f>BC17*'Levellized Salt Sep Plant'!$C$30</f>
        <v>10115391</v>
      </c>
      <c r="BD20" s="75">
        <f>BD17*'Levellized Salt Sep Plant'!$C$30</f>
        <v>10115391</v>
      </c>
      <c r="BE20" s="75">
        <f>BE17*'Levellized Salt Sep Plant'!$C$30</f>
        <v>10115391</v>
      </c>
      <c r="BF20" s="75">
        <f>BF17*'Levellized Salt Sep Plant'!$C$30</f>
        <v>10115391</v>
      </c>
      <c r="BG20" s="75">
        <f>BG17*'Levellized Salt Sep Plant'!$C$30</f>
        <v>10115391</v>
      </c>
      <c r="BH20" s="75">
        <f>BH17*'Levellized Salt Sep Plant'!$C$30</f>
        <v>10115391</v>
      </c>
      <c r="BI20" s="75"/>
    </row>
    <row r="21" spans="1:61" x14ac:dyDescent="0.2">
      <c r="B21" s="3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1:61" x14ac:dyDescent="0.2">
      <c r="A22" t="s">
        <v>8</v>
      </c>
      <c r="B22" s="31"/>
      <c r="C22" s="82">
        <f xml:space="preserve"> IF(C24 &gt; 0, C34/(C34+C24), 0)</f>
        <v>0</v>
      </c>
      <c r="D22" s="82">
        <f t="shared" ref="D22:AM22" si="34" xml:space="preserve"> IF(D24 &gt; 0, D34/(D34+D24), 0)</f>
        <v>0</v>
      </c>
      <c r="E22" s="82">
        <f t="shared" si="34"/>
        <v>0.112896648986525</v>
      </c>
      <c r="F22" s="82">
        <f t="shared" si="34"/>
        <v>0.11243242219676383</v>
      </c>
      <c r="G22" s="82">
        <f t="shared" si="34"/>
        <v>0.48604076894551185</v>
      </c>
      <c r="H22" s="82">
        <f t="shared" si="34"/>
        <v>0.56857018506728196</v>
      </c>
      <c r="I22" s="82">
        <f t="shared" si="34"/>
        <v>0.56744641561825748</v>
      </c>
      <c r="J22" s="82">
        <f t="shared" si="34"/>
        <v>0.56632707962956563</v>
      </c>
      <c r="K22" s="82">
        <f t="shared" si="34"/>
        <v>0.56521215091673216</v>
      </c>
      <c r="L22" s="82">
        <f t="shared" si="34"/>
        <v>0.5641016035010763</v>
      </c>
      <c r="M22" s="82">
        <f t="shared" si="34"/>
        <v>0.56299541160769095</v>
      </c>
      <c r="N22" s="82">
        <f t="shared" si="34"/>
        <v>0.5618935496634494</v>
      </c>
      <c r="O22" s="82">
        <f t="shared" si="34"/>
        <v>0.56079599229503629</v>
      </c>
      <c r="P22" s="82">
        <f t="shared" si="34"/>
        <v>0.55970271432699692</v>
      </c>
      <c r="Q22" s="82">
        <f t="shared" si="34"/>
        <v>0.55861369077981426</v>
      </c>
      <c r="R22" s="82">
        <f t="shared" si="34"/>
        <v>0.55752889686800733</v>
      </c>
      <c r="S22" s="82">
        <f t="shared" si="34"/>
        <v>0.55644830799824763</v>
      </c>
      <c r="T22" s="82">
        <f t="shared" si="34"/>
        <v>0.55537189976750445</v>
      </c>
      <c r="U22" s="82">
        <f t="shared" si="34"/>
        <v>0.55429964796120501</v>
      </c>
      <c r="V22" s="82">
        <f t="shared" si="34"/>
        <v>0.5532315285514191</v>
      </c>
      <c r="W22" s="82">
        <f t="shared" si="34"/>
        <v>0.55216751769506656</v>
      </c>
      <c r="X22" s="82">
        <f t="shared" si="34"/>
        <v>0.55110759173213986</v>
      </c>
      <c r="Y22" s="82">
        <f t="shared" si="34"/>
        <v>0.55005172718395168</v>
      </c>
      <c r="Z22" s="82">
        <f t="shared" si="34"/>
        <v>0.54899990075140315</v>
      </c>
      <c r="AA22" s="82">
        <f t="shared" si="34"/>
        <v>0.54795208931326722</v>
      </c>
      <c r="AB22" s="82">
        <f t="shared" si="34"/>
        <v>0.54690826992449504</v>
      </c>
      <c r="AC22" s="82">
        <f t="shared" si="34"/>
        <v>0.54586841981454348</v>
      </c>
      <c r="AD22" s="82">
        <f t="shared" si="34"/>
        <v>0.54483251638571606</v>
      </c>
      <c r="AE22" s="82">
        <f t="shared" si="34"/>
        <v>0.54380053721152743</v>
      </c>
      <c r="AF22" s="82">
        <f t="shared" si="34"/>
        <v>0.54277246003508628</v>
      </c>
      <c r="AG22" s="82">
        <f t="shared" si="34"/>
        <v>0.54174826276749288</v>
      </c>
      <c r="AH22" s="82">
        <f t="shared" si="34"/>
        <v>0.54072792348625809</v>
      </c>
      <c r="AI22" s="82">
        <f t="shared" si="34"/>
        <v>0.5397114204337401</v>
      </c>
      <c r="AJ22" s="82">
        <f t="shared" si="34"/>
        <v>0.53869873201559615</v>
      </c>
      <c r="AK22" s="82">
        <f t="shared" si="34"/>
        <v>0.53768983679925542</v>
      </c>
      <c r="AL22" s="82">
        <f t="shared" si="34"/>
        <v>0.53668471351240454</v>
      </c>
      <c r="AM22" s="82">
        <f t="shared" si="34"/>
        <v>0.53568334104149407</v>
      </c>
      <c r="AN22" s="82">
        <f t="shared" ref="AN22:AP22" si="35" xml:space="preserve"> IF(AN24 &gt; 0, AN34/(AN34+AN24), 0)</f>
        <v>0.49620390300323913</v>
      </c>
      <c r="AO22" s="82">
        <f t="shared" si="35"/>
        <v>0.4327859407661766</v>
      </c>
      <c r="AP22" s="82">
        <f t="shared" si="35"/>
        <v>0.43180954716365377</v>
      </c>
      <c r="AQ22" s="82">
        <f t="shared" ref="AQ22:AS22" si="36" xml:space="preserve"> IF(AQ24 &gt; 0, AQ34/(AQ34+AQ24), 0)</f>
        <v>0.43083754926076462</v>
      </c>
      <c r="AR22" s="82">
        <f t="shared" si="36"/>
        <v>0.42986991744018177</v>
      </c>
      <c r="AS22" s="82">
        <f t="shared" si="36"/>
        <v>0.42890662235005583</v>
      </c>
      <c r="AT22" s="82">
        <f t="shared" ref="AT22:AY22" si="37" xml:space="preserve"> IF(AT24 &gt; 0, AT34/(AT34+AT24), 0)</f>
        <v>0.42794763490104842</v>
      </c>
      <c r="AU22" s="82">
        <f t="shared" si="37"/>
        <v>0.42699292626340135</v>
      </c>
      <c r="AV22" s="82">
        <f t="shared" si="37"/>
        <v>0.42604246786404959</v>
      </c>
      <c r="AW22" s="82">
        <f t="shared" si="37"/>
        <v>0.42509623138377112</v>
      </c>
      <c r="AX22" s="82">
        <f t="shared" si="37"/>
        <v>0.42415418875437211</v>
      </c>
      <c r="AY22" s="82">
        <f t="shared" si="37"/>
        <v>0.42321631215591277</v>
      </c>
      <c r="AZ22" s="82">
        <f t="shared" ref="AZ22:BE22" si="38" xml:space="preserve"> IF(AZ24 &gt; 0, AZ34/(AZ34+AZ24), 0)</f>
        <v>0.42228257401397007</v>
      </c>
      <c r="BA22" s="82">
        <f t="shared" si="38"/>
        <v>0.42135294699693249</v>
      </c>
      <c r="BB22" s="82">
        <f t="shared" si="38"/>
        <v>0.42042740401333611</v>
      </c>
      <c r="BC22" s="82">
        <f t="shared" si="38"/>
        <v>0.41950591820923061</v>
      </c>
      <c r="BD22" s="82">
        <f t="shared" si="38"/>
        <v>0.41858846296558277</v>
      </c>
      <c r="BE22" s="82">
        <f t="shared" si="38"/>
        <v>0.41767501189571471</v>
      </c>
      <c r="BF22" s="82">
        <f t="shared" ref="BF22:BG22" si="39" xml:space="preserve"> IF(BF24 &gt; 0, BF34/(BF34+BF24), 0)</f>
        <v>0.41676553884277157</v>
      </c>
      <c r="BG22" s="82">
        <f t="shared" si="39"/>
        <v>0.41586001787722626</v>
      </c>
      <c r="BH22" s="82">
        <f t="shared" ref="BH22" si="40" xml:space="preserve"> IF(BH24 &gt; 0, BH34/(BH34+BH24), 0)</f>
        <v>0.41495842329441618</v>
      </c>
      <c r="BI22" s="82"/>
    </row>
    <row r="23" spans="1:61" x14ac:dyDescent="0.2">
      <c r="A23" t="s">
        <v>629</v>
      </c>
      <c r="B23" s="31"/>
      <c r="C23" s="5">
        <f>IF((C63-C34-C24)&gt;0,(C63-C34-C24),0)</f>
        <v>0</v>
      </c>
      <c r="D23" s="5">
        <f t="shared" ref="D23:BH23" si="41">IF((D63-D34-D24)&gt;0,(D63-D34-D24),0)</f>
        <v>0</v>
      </c>
      <c r="E23" s="5">
        <f t="shared" si="41"/>
        <v>0</v>
      </c>
      <c r="F23" s="5">
        <f t="shared" si="41"/>
        <v>0</v>
      </c>
      <c r="G23" s="5">
        <f t="shared" si="41"/>
        <v>0</v>
      </c>
      <c r="H23" s="5">
        <f t="shared" si="41"/>
        <v>0</v>
      </c>
      <c r="I23" s="5">
        <f t="shared" si="41"/>
        <v>292964.14026642335</v>
      </c>
      <c r="J23" s="5">
        <f t="shared" si="41"/>
        <v>1336900.2059916244</v>
      </c>
      <c r="K23" s="5">
        <f t="shared" si="41"/>
        <v>2326912.3540735892</v>
      </c>
      <c r="L23" s="5">
        <f t="shared" si="41"/>
        <v>3235981.6395771196</v>
      </c>
      <c r="M23" s="5">
        <f t="shared" si="41"/>
        <v>3045337.1285010828</v>
      </c>
      <c r="N23" s="5">
        <f t="shared" si="41"/>
        <v>2847213.0463476432</v>
      </c>
      <c r="O23" s="5">
        <f t="shared" si="41"/>
        <v>2650010.4878543792</v>
      </c>
      <c r="P23" s="5">
        <f t="shared" si="41"/>
        <v>2457460.3527665744</v>
      </c>
      <c r="Q23" s="5">
        <f t="shared" si="41"/>
        <v>2262793.448175631</v>
      </c>
      <c r="R23" s="5">
        <f t="shared" si="41"/>
        <v>2071368.0940011875</v>
      </c>
      <c r="S23" s="5">
        <f t="shared" si="41"/>
        <v>1879584.021726782</v>
      </c>
      <c r="T23" s="5">
        <f t="shared" si="41"/>
        <v>1699412.1948272691</v>
      </c>
      <c r="U23" s="5">
        <f t="shared" si="41"/>
        <v>1519363.1797297199</v>
      </c>
      <c r="V23" s="5">
        <f t="shared" si="41"/>
        <v>1346828.7849065987</v>
      </c>
      <c r="W23" s="5">
        <f t="shared" si="41"/>
        <v>1177776.9149354619</v>
      </c>
      <c r="X23" s="5">
        <f t="shared" si="41"/>
        <v>1018861.5901907904</v>
      </c>
      <c r="Y23" s="5">
        <f t="shared" si="41"/>
        <v>860861.3357923585</v>
      </c>
      <c r="Z23" s="5">
        <f t="shared" si="41"/>
        <v>706499.36783721414</v>
      </c>
      <c r="AA23" s="5">
        <f t="shared" si="41"/>
        <v>489337.53617612715</v>
      </c>
      <c r="AB23" s="5">
        <f t="shared" si="41"/>
        <v>299909.06213955651</v>
      </c>
      <c r="AC23" s="5">
        <f t="shared" si="41"/>
        <v>125304.83218297036</v>
      </c>
      <c r="AD23" s="5">
        <f t="shared" si="41"/>
        <v>0</v>
      </c>
      <c r="AE23" s="5">
        <f t="shared" si="41"/>
        <v>0</v>
      </c>
      <c r="AF23" s="5">
        <f t="shared" si="41"/>
        <v>0</v>
      </c>
      <c r="AG23" s="5">
        <f t="shared" si="41"/>
        <v>0</v>
      </c>
      <c r="AH23" s="5">
        <f t="shared" si="41"/>
        <v>0</v>
      </c>
      <c r="AI23" s="5">
        <f t="shared" si="41"/>
        <v>0</v>
      </c>
      <c r="AJ23" s="5">
        <f t="shared" si="41"/>
        <v>0</v>
      </c>
      <c r="AK23" s="5">
        <f t="shared" si="41"/>
        <v>0</v>
      </c>
      <c r="AL23" s="5">
        <f t="shared" si="41"/>
        <v>0</v>
      </c>
      <c r="AM23" s="5">
        <f t="shared" si="41"/>
        <v>0</v>
      </c>
      <c r="AN23" s="5">
        <f t="shared" si="41"/>
        <v>0</v>
      </c>
      <c r="AO23" s="5">
        <f t="shared" si="41"/>
        <v>0</v>
      </c>
      <c r="AP23" s="5">
        <f t="shared" si="41"/>
        <v>0</v>
      </c>
      <c r="AQ23" s="5">
        <f t="shared" si="41"/>
        <v>0</v>
      </c>
      <c r="AR23" s="5">
        <f t="shared" si="41"/>
        <v>0</v>
      </c>
      <c r="AS23" s="5">
        <f t="shared" si="41"/>
        <v>0</v>
      </c>
      <c r="AT23" s="5">
        <f t="shared" si="41"/>
        <v>0</v>
      </c>
      <c r="AU23" s="5">
        <f t="shared" si="41"/>
        <v>0</v>
      </c>
      <c r="AV23" s="5">
        <f t="shared" si="41"/>
        <v>0</v>
      </c>
      <c r="AW23" s="5">
        <f t="shared" si="41"/>
        <v>0</v>
      </c>
      <c r="AX23" s="5">
        <f t="shared" si="41"/>
        <v>0</v>
      </c>
      <c r="AY23" s="5">
        <f t="shared" si="41"/>
        <v>0</v>
      </c>
      <c r="AZ23" s="5">
        <f t="shared" si="41"/>
        <v>0</v>
      </c>
      <c r="BA23" s="5">
        <f t="shared" si="41"/>
        <v>0</v>
      </c>
      <c r="BB23" s="5">
        <f t="shared" si="41"/>
        <v>0</v>
      </c>
      <c r="BC23" s="5">
        <f t="shared" si="41"/>
        <v>0</v>
      </c>
      <c r="BD23" s="5">
        <f t="shared" si="41"/>
        <v>0</v>
      </c>
      <c r="BE23" s="5">
        <f t="shared" si="41"/>
        <v>0</v>
      </c>
      <c r="BF23" s="5">
        <f t="shared" si="41"/>
        <v>0</v>
      </c>
      <c r="BG23" s="5">
        <f t="shared" si="41"/>
        <v>0</v>
      </c>
      <c r="BH23" s="5">
        <f t="shared" si="41"/>
        <v>0</v>
      </c>
      <c r="BI23" s="82"/>
    </row>
    <row r="24" spans="1:61" x14ac:dyDescent="0.2">
      <c r="A24" t="s">
        <v>628</v>
      </c>
      <c r="B24" s="31">
        <v>0.3</v>
      </c>
      <c r="C24" s="5">
        <f>IF((C63-C34)&gt;0,($B24*0.08*C77),0)</f>
        <v>0</v>
      </c>
      <c r="D24" s="5">
        <f t="shared" ref="D24:BH24" si="42">IF((D63-D34)&gt;0,($B24*0.08*D77),0)</f>
        <v>0</v>
      </c>
      <c r="E24" s="5">
        <f t="shared" si="42"/>
        <v>1362321.600000001</v>
      </c>
      <c r="F24" s="5">
        <f t="shared" si="42"/>
        <v>1368662.4000000001</v>
      </c>
      <c r="G24" s="5">
        <f t="shared" si="42"/>
        <v>1375003.1999999993</v>
      </c>
      <c r="H24" s="5">
        <f t="shared" si="42"/>
        <v>1381344.0000000009</v>
      </c>
      <c r="I24" s="5">
        <f t="shared" si="42"/>
        <v>1387684.8</v>
      </c>
      <c r="J24" s="5">
        <f t="shared" si="42"/>
        <v>1394025.5999999992</v>
      </c>
      <c r="K24" s="5">
        <f t="shared" si="42"/>
        <v>1400366.4000000008</v>
      </c>
      <c r="L24" s="5">
        <f t="shared" si="42"/>
        <v>1406707.2</v>
      </c>
      <c r="M24" s="5">
        <f t="shared" si="42"/>
        <v>1413047.9999999991</v>
      </c>
      <c r="N24" s="5">
        <f t="shared" si="42"/>
        <v>1419388.8000000007</v>
      </c>
      <c r="O24" s="5">
        <f t="shared" si="42"/>
        <v>1425729.5999999996</v>
      </c>
      <c r="P24" s="5">
        <f t="shared" si="42"/>
        <v>1432070.3999999987</v>
      </c>
      <c r="Q24" s="5">
        <f t="shared" si="42"/>
        <v>1438411.2000000007</v>
      </c>
      <c r="R24" s="5">
        <f t="shared" si="42"/>
        <v>1444751.9999999995</v>
      </c>
      <c r="S24" s="5">
        <f t="shared" si="42"/>
        <v>1451092.8000000012</v>
      </c>
      <c r="T24" s="5">
        <f t="shared" si="42"/>
        <v>1457433.6000000003</v>
      </c>
      <c r="U24" s="5">
        <f t="shared" si="42"/>
        <v>1463774.3999999992</v>
      </c>
      <c r="V24" s="5">
        <f t="shared" si="42"/>
        <v>1470115.2000000011</v>
      </c>
      <c r="W24" s="5">
        <f t="shared" si="42"/>
        <v>1476456.0000000002</v>
      </c>
      <c r="X24" s="5">
        <f t="shared" si="42"/>
        <v>1482796.7999999991</v>
      </c>
      <c r="Y24" s="5">
        <f t="shared" si="42"/>
        <v>1489137.600000001</v>
      </c>
      <c r="Z24" s="5">
        <f t="shared" si="42"/>
        <v>1495478.4000000001</v>
      </c>
      <c r="AA24" s="5">
        <f t="shared" si="42"/>
        <v>1501819.199999999</v>
      </c>
      <c r="AB24" s="5">
        <f t="shared" si="42"/>
        <v>1508160.0000000007</v>
      </c>
      <c r="AC24" s="5">
        <f t="shared" si="42"/>
        <v>1514500.7999999998</v>
      </c>
      <c r="AD24" s="5">
        <f t="shared" si="42"/>
        <v>1520841.5999999987</v>
      </c>
      <c r="AE24" s="5">
        <f t="shared" si="42"/>
        <v>1527182.4000000006</v>
      </c>
      <c r="AF24" s="5">
        <f t="shared" si="42"/>
        <v>1533523.1999999997</v>
      </c>
      <c r="AG24" s="5">
        <f t="shared" si="42"/>
        <v>1539863.9999999988</v>
      </c>
      <c r="AH24" s="5">
        <f t="shared" si="42"/>
        <v>1546204.8000000003</v>
      </c>
      <c r="AI24" s="5">
        <f t="shared" si="42"/>
        <v>1552545.5999999994</v>
      </c>
      <c r="AJ24" s="5">
        <f t="shared" si="42"/>
        <v>1558886.4000000013</v>
      </c>
      <c r="AK24" s="5">
        <f t="shared" si="42"/>
        <v>1565227.2000000002</v>
      </c>
      <c r="AL24" s="5">
        <f t="shared" si="42"/>
        <v>1571567.9999999993</v>
      </c>
      <c r="AM24" s="5">
        <f t="shared" si="42"/>
        <v>1577908.8000000012</v>
      </c>
      <c r="AN24" s="5">
        <f t="shared" si="42"/>
        <v>1584249.6000000003</v>
      </c>
      <c r="AO24" s="5">
        <f t="shared" si="42"/>
        <v>1590590.3999999992</v>
      </c>
      <c r="AP24" s="5">
        <f t="shared" si="42"/>
        <v>1596931.2000000009</v>
      </c>
      <c r="AQ24" s="5">
        <f t="shared" si="42"/>
        <v>1603272</v>
      </c>
      <c r="AR24" s="5">
        <f t="shared" si="42"/>
        <v>1609612.7999999989</v>
      </c>
      <c r="AS24" s="5">
        <f t="shared" si="42"/>
        <v>1615953.6000000008</v>
      </c>
      <c r="AT24" s="5">
        <f t="shared" si="42"/>
        <v>1622294.3999999997</v>
      </c>
      <c r="AU24" s="5">
        <f t="shared" si="42"/>
        <v>1628635.199999999</v>
      </c>
      <c r="AV24" s="5">
        <f t="shared" si="42"/>
        <v>1634976.0000000007</v>
      </c>
      <c r="AW24" s="5">
        <f t="shared" si="42"/>
        <v>1641316.7999999996</v>
      </c>
      <c r="AX24" s="5">
        <f t="shared" si="42"/>
        <v>1647657.5999999987</v>
      </c>
      <c r="AY24" s="5">
        <f t="shared" si="42"/>
        <v>1653998.4000000004</v>
      </c>
      <c r="AZ24" s="5">
        <f t="shared" si="42"/>
        <v>1660339.1999999993</v>
      </c>
      <c r="BA24" s="5">
        <f t="shared" si="42"/>
        <v>1666680.0000000012</v>
      </c>
      <c r="BB24" s="5">
        <f t="shared" si="42"/>
        <v>1673020.8000000003</v>
      </c>
      <c r="BC24" s="5">
        <f t="shared" si="42"/>
        <v>1679361.5999999994</v>
      </c>
      <c r="BD24" s="5">
        <f t="shared" si="42"/>
        <v>1685702.4000000011</v>
      </c>
      <c r="BE24" s="5">
        <f t="shared" si="42"/>
        <v>1692043.2</v>
      </c>
      <c r="BF24" s="5">
        <f t="shared" si="42"/>
        <v>1698383.9999999991</v>
      </c>
      <c r="BG24" s="5">
        <f t="shared" si="42"/>
        <v>1704724.8000000007</v>
      </c>
      <c r="BH24" s="5">
        <f t="shared" si="42"/>
        <v>1711065.6</v>
      </c>
      <c r="BI24" s="5"/>
    </row>
    <row r="25" spans="1:61" s="74" customFormat="1" x14ac:dyDescent="0.2">
      <c r="A25" s="74" t="s">
        <v>10</v>
      </c>
      <c r="B25" s="121"/>
      <c r="C25" s="75">
        <f>IF(C16&gt;0,(C27) * 'Salt Evaporation Pond Costs'!$B$46,0)</f>
        <v>0</v>
      </c>
      <c r="D25" s="75">
        <f>IF(D16&gt;0,(D27) * 'Salt Evaporation Pond Costs'!$B$46,0)</f>
        <v>0</v>
      </c>
      <c r="E25" s="75">
        <f>IF(E16&gt;0,(E27) * 'Salt Evaporation Pond Costs'!$B$46,0)</f>
        <v>0</v>
      </c>
      <c r="F25" s="75">
        <f>IF(F16&gt;0,(F27) * 'Salt Evaporation Pond Costs'!$B$46,0)</f>
        <v>8586761.1508694086</v>
      </c>
      <c r="G25" s="75">
        <f>IF(G16&gt;0,(G27) * 'Salt Evaporation Pond Costs'!$B$46,0)</f>
        <v>8626542.2795870733</v>
      </c>
      <c r="H25" s="75">
        <f>IF(H16&gt;0,(H27) * 'Salt Evaporation Pond Costs'!$B$46,0)</f>
        <v>8666323.4083047509</v>
      </c>
      <c r="I25" s="75">
        <f>IF(I16&gt;0,(I27) * 'Salt Evaporation Pond Costs'!$B$46,0)</f>
        <v>10544113.017592628</v>
      </c>
      <c r="J25" s="75">
        <f>IF(J16&gt;0,(J27) * 'Salt Evaporation Pond Costs'!$B$46,0)</f>
        <v>17133376.073453616</v>
      </c>
      <c r="K25" s="75">
        <f>IF(K16&gt;0,(K27) * 'Salt Evaporation Pond Costs'!$B$46,0)</f>
        <v>23384329.403613366</v>
      </c>
      <c r="L25" s="75">
        <f>IF(L16&gt;0,(L27) * 'Salt Evaporation Pond Costs'!$B$46,0)</f>
        <v>0</v>
      </c>
      <c r="M25" s="75">
        <f>IF(M16&gt;0,(M27) * 'Salt Evaporation Pond Costs'!$B$46,0)</f>
        <v>0</v>
      </c>
      <c r="N25" s="75">
        <f>IF(N16&gt;0,(N27) * 'Salt Evaporation Pond Costs'!$B$46,0)</f>
        <v>0</v>
      </c>
      <c r="O25" s="75">
        <f>IF(O16&gt;0,(O27) * 'Salt Evaporation Pond Costs'!$B$46,0)</f>
        <v>0</v>
      </c>
      <c r="P25" s="75">
        <f>IF(P16&gt;0,(P27) * 'Salt Evaporation Pond Costs'!$B$46,0)</f>
        <v>0</v>
      </c>
      <c r="Q25" s="75">
        <f>IF(Q16&gt;0,(Q27) * 'Salt Evaporation Pond Costs'!$B$46,0)</f>
        <v>0</v>
      </c>
      <c r="R25" s="75">
        <f>IF(R16&gt;0,(R27) * 'Salt Evaporation Pond Costs'!$B$46,0)</f>
        <v>0</v>
      </c>
      <c r="S25" s="75">
        <f>IF(S16&gt;0,(S27) * 'Salt Evaporation Pond Costs'!$B$46,0)</f>
        <v>0</v>
      </c>
      <c r="T25" s="75">
        <f>IF(T16&gt;0,(T27) * 'Salt Evaporation Pond Costs'!$B$46,0)</f>
        <v>0</v>
      </c>
      <c r="U25" s="75">
        <f>IF(U16&gt;0,(U27) * 'Salt Evaporation Pond Costs'!$B$46,0)</f>
        <v>0</v>
      </c>
      <c r="V25" s="75">
        <f>IF(V16&gt;0,(V27) * 'Salt Evaporation Pond Costs'!$B$46,0)</f>
        <v>0</v>
      </c>
      <c r="W25" s="75">
        <f>IF(W16&gt;0,(W27) * 'Salt Evaporation Pond Costs'!$B$46,0)</f>
        <v>0</v>
      </c>
      <c r="X25" s="75">
        <f>IF(X16&gt;0,(X27) * 'Salt Evaporation Pond Costs'!$B$46,0)</f>
        <v>0</v>
      </c>
      <c r="Y25" s="75">
        <f>IF(Y16&gt;0,(Y27) * 'Salt Evaporation Pond Costs'!$B$46,0)</f>
        <v>0</v>
      </c>
      <c r="Z25" s="75">
        <f>IF(Z16&gt;0,(Z27) * 'Salt Evaporation Pond Costs'!$B$46,0)</f>
        <v>0</v>
      </c>
      <c r="AA25" s="75">
        <f>IF(AA16&gt;0,(AA27) * 'Salt Evaporation Pond Costs'!$B$46,0)</f>
        <v>0</v>
      </c>
      <c r="AB25" s="75">
        <f>IF(AB16&gt;0,(AB27) * 'Salt Evaporation Pond Costs'!$B$46,0)</f>
        <v>0</v>
      </c>
      <c r="AC25" s="75">
        <f>IF(AC16&gt;0,(AC27) * 'Salt Evaporation Pond Costs'!$B$46,0)</f>
        <v>0</v>
      </c>
      <c r="AD25" s="75">
        <f>IF(AD16&gt;0,(AD27) * 'Salt Evaporation Pond Costs'!$B$46,0)</f>
        <v>0</v>
      </c>
      <c r="AE25" s="75">
        <f>IF(AE16&gt;0,(AE27) * 'Salt Evaporation Pond Costs'!$B$46,0)</f>
        <v>0</v>
      </c>
      <c r="AF25" s="75">
        <f>IF(AF16&gt;0,(AF27) * 'Salt Evaporation Pond Costs'!$B$46,0)</f>
        <v>0</v>
      </c>
      <c r="AG25" s="75">
        <f>IF(AG16&gt;0,(AG27) * 'Salt Evaporation Pond Costs'!$B$46,0)</f>
        <v>0</v>
      </c>
      <c r="AH25" s="75">
        <f>IF(AH16&gt;0,(AH27) * 'Salt Evaporation Pond Costs'!$B$46,0)</f>
        <v>0</v>
      </c>
      <c r="AI25" s="75">
        <f>IF(AI16&gt;0,(AI27) * 'Salt Evaporation Pond Costs'!$B$46,0)</f>
        <v>0</v>
      </c>
      <c r="AJ25" s="75">
        <f>IF(AJ16&gt;0,(AJ27) * 'Salt Evaporation Pond Costs'!$B$46,0)</f>
        <v>0</v>
      </c>
      <c r="AK25" s="75">
        <f>IF(AK16&gt;0,(AK27) * 'Salt Evaporation Pond Costs'!$B$46,0)</f>
        <v>0</v>
      </c>
      <c r="AL25" s="75">
        <f>IF(AL16&gt;0,(AL27) * 'Salt Evaporation Pond Costs'!$B$46,0)</f>
        <v>9859757.2698347885</v>
      </c>
      <c r="AM25" s="75">
        <f>IF(AM16&gt;0,(AM27) * 'Salt Evaporation Pond Costs'!$B$46,0)</f>
        <v>9899538.398552468</v>
      </c>
      <c r="AN25" s="75">
        <f>IF(AN16&gt;0,(AN27) * 'Salt Evaporation Pond Costs'!$B$46,0)</f>
        <v>9939319.5272701327</v>
      </c>
      <c r="AO25" s="75">
        <f>IF(AO16&gt;0,(AO27) * 'Salt Evaporation Pond Costs'!$B$46,0)</f>
        <v>0</v>
      </c>
      <c r="AP25" s="75">
        <f>IF(AP16&gt;0,(AP27) * 'Salt Evaporation Pond Costs'!$B$46,0)</f>
        <v>0</v>
      </c>
      <c r="AQ25" s="75">
        <f>IF(AQ16&gt;0,(AQ27) * 'Salt Evaporation Pond Costs'!$B$46,0)</f>
        <v>0</v>
      </c>
      <c r="AR25" s="75">
        <f>IF(AR16&gt;0,(AR27) * 'Salt Evaporation Pond Costs'!$B$46,0)</f>
        <v>0</v>
      </c>
      <c r="AS25" s="75">
        <f>IF(AS16&gt;0,(AS27) * 'Salt Evaporation Pond Costs'!$B$46,0)</f>
        <v>0</v>
      </c>
      <c r="AT25" s="75">
        <f>IF(AT16&gt;0,(AT27) * 'Salt Evaporation Pond Costs'!$B$46,0)</f>
        <v>0</v>
      </c>
      <c r="AU25" s="75">
        <f>IF(AU16&gt;0,(AU27) * 'Salt Evaporation Pond Costs'!$B$46,0)</f>
        <v>0</v>
      </c>
      <c r="AV25" s="75">
        <f>IF(AV16&gt;0,(AV27) * 'Salt Evaporation Pond Costs'!$B$46,0)</f>
        <v>0</v>
      </c>
      <c r="AW25" s="75">
        <f>IF(AW16&gt;0,(AW27) * 'Salt Evaporation Pond Costs'!$B$46,0)</f>
        <v>0</v>
      </c>
      <c r="AX25" s="75">
        <f>IF(AX16&gt;0,(AX27) * 'Salt Evaporation Pond Costs'!$B$46,0)</f>
        <v>0</v>
      </c>
      <c r="AY25" s="75">
        <f>IF(AY16&gt;0,(AY27) * 'Salt Evaporation Pond Costs'!$B$46,0)</f>
        <v>0</v>
      </c>
      <c r="AZ25" s="75">
        <f>IF(AZ16&gt;0,(AZ27) * 'Salt Evaporation Pond Costs'!$B$46,0)</f>
        <v>0</v>
      </c>
      <c r="BA25" s="75">
        <f>IF(BA16&gt;0,(BA27) * 'Salt Evaporation Pond Costs'!$B$46,0)</f>
        <v>0</v>
      </c>
      <c r="BB25" s="75">
        <f>IF(BB16&gt;0,(BB27) * 'Salt Evaporation Pond Costs'!$B$46,0)</f>
        <v>0</v>
      </c>
      <c r="BC25" s="75">
        <f>IF(BC16&gt;0,(BC27) * 'Salt Evaporation Pond Costs'!$B$46,0)</f>
        <v>0</v>
      </c>
      <c r="BD25" s="75">
        <f>IF(BD16&gt;0,(BD27) * 'Salt Evaporation Pond Costs'!$B$46,0)</f>
        <v>0</v>
      </c>
      <c r="BE25" s="75">
        <f>IF(BE16&gt;0,(BE27) * 'Salt Evaporation Pond Costs'!$B$46,0)</f>
        <v>0</v>
      </c>
      <c r="BF25" s="75">
        <f>IF(BF16&gt;0,(BF27) * 'Salt Evaporation Pond Costs'!$B$46,0)</f>
        <v>0</v>
      </c>
      <c r="BG25" s="75">
        <f>IF(BG16&gt;0,(BG27) * 'Salt Evaporation Pond Costs'!$B$46,0)</f>
        <v>0</v>
      </c>
      <c r="BH25" s="75">
        <f>IF(BH16&gt;0,(BH27) * 'Salt Evaporation Pond Costs'!$B$46,0)</f>
        <v>0</v>
      </c>
      <c r="BI25" s="75"/>
    </row>
    <row r="26" spans="1:61" s="74" customFormat="1" x14ac:dyDescent="0.2">
      <c r="A26" s="74" t="s">
        <v>11</v>
      </c>
      <c r="B26" s="121"/>
      <c r="C26" s="75">
        <f>C27 * 'Salt Evaporation Pond Costs'!$B$53</f>
        <v>0</v>
      </c>
      <c r="D26" s="75">
        <f>D27 * 'Salt Evaporation Pond Costs'!$B$53</f>
        <v>0</v>
      </c>
      <c r="E26" s="75">
        <f>E27 * 'Salt Evaporation Pond Costs'!$B$53</f>
        <v>529375.9814204966</v>
      </c>
      <c r="F26" s="75">
        <f>F27 * 'Salt Evaporation Pond Costs'!$B$53</f>
        <v>531839.9130083028</v>
      </c>
      <c r="G26" s="75">
        <f>G27 * 'Salt Evaporation Pond Costs'!$B$53</f>
        <v>534303.844596109</v>
      </c>
      <c r="H26" s="75">
        <f>H27 * 'Salt Evaporation Pond Costs'!$B$53</f>
        <v>536767.77618391614</v>
      </c>
      <c r="I26" s="75">
        <f>I27 * 'Salt Evaporation Pond Costs'!$B$53</f>
        <v>653072.80026746623</v>
      </c>
      <c r="J26" s="75">
        <f>J27 * 'Salt Evaporation Pond Costs'!$B$53</f>
        <v>1061193.2811851294</v>
      </c>
      <c r="K26" s="75">
        <f>K27 * 'Salt Evaporation Pond Costs'!$B$53</f>
        <v>1448359.806132026</v>
      </c>
      <c r="L26" s="75">
        <f>L27 * 'Salt Evaporation Pond Costs'!$B$53</f>
        <v>1804073.2532473409</v>
      </c>
      <c r="M26" s="75">
        <f>M27 * 'Salt Evaporation Pond Costs'!$B$53</f>
        <v>1732455.8334469669</v>
      </c>
      <c r="N26" s="75">
        <f>N27 * 'Salt Evaporation Pond Costs'!$B$53</f>
        <v>1657931.9741687907</v>
      </c>
      <c r="O26" s="75">
        <f>O27 * 'Salt Evaporation Pond Costs'!$B$53</f>
        <v>1583766.2039732554</v>
      </c>
      <c r="P26" s="75">
        <f>P27 * 'Salt Evaporation Pond Costs'!$B$53</f>
        <v>1511408.2897246922</v>
      </c>
      <c r="Q26" s="75">
        <f>Q27 * 'Salt Evaporation Pond Costs'!$B$53</f>
        <v>1438227.8333295735</v>
      </c>
      <c r="R26" s="75">
        <f>R27 * 'Salt Evaporation Pond Costs'!$B$53</f>
        <v>1366306.9906211616</v>
      </c>
      <c r="S26" s="75">
        <f>S27 * 'Salt Evaporation Pond Costs'!$B$53</f>
        <v>1294246.7559026554</v>
      </c>
      <c r="T26" s="75">
        <f>T27 * 'Salt Evaporation Pond Costs'!$B$53</f>
        <v>1226698.8505723262</v>
      </c>
      <c r="U26" s="75">
        <f>U27 * 'Salt Evaporation Pond Costs'!$B$53</f>
        <v>1159198.6679076247</v>
      </c>
      <c r="V26" s="75">
        <f>V27 * 'Salt Evaporation Pond Costs'!$B$53</f>
        <v>1094618.5442677375</v>
      </c>
      <c r="W26" s="75">
        <f>W27 * 'Salt Evaporation Pond Costs'!$B$53</f>
        <v>1031391.673054692</v>
      </c>
      <c r="X26" s="75">
        <f>X27 * 'Salt Evaporation Pond Costs'!$B$53</f>
        <v>972103.69819143147</v>
      </c>
      <c r="Y26" s="75">
        <f>Y27 * 'Salt Evaporation Pond Costs'!$B$53</f>
        <v>913171.30475814384</v>
      </c>
      <c r="Z26" s="75">
        <f>Z27 * 'Salt Evaporation Pond Costs'!$B$53</f>
        <v>855652.69016870833</v>
      </c>
      <c r="AA26" s="75">
        <f>AA27 * 'Salt Evaporation Pond Costs'!$B$53</f>
        <v>773731.07155848446</v>
      </c>
      <c r="AB26" s="75">
        <f>AB27 * 'Salt Evaporation Pond Costs'!$B$53</f>
        <v>702586.18394229701</v>
      </c>
      <c r="AC26" s="75">
        <f>AC27 * 'Salt Evaporation Pond Costs'!$B$53</f>
        <v>637201.75608734181</v>
      </c>
      <c r="AD26" s="75">
        <f>AD27 * 'Salt Evaporation Pond Costs'!$B$53</f>
        <v>590974.27111565811</v>
      </c>
      <c r="AE26" s="75">
        <f>AE27 * 'Salt Evaporation Pond Costs'!$B$53</f>
        <v>593438.20270346536</v>
      </c>
      <c r="AF26" s="75">
        <f>AF27 * 'Salt Evaporation Pond Costs'!$B$53</f>
        <v>595902.13429127145</v>
      </c>
      <c r="AG26" s="75">
        <f>AG27 * 'Salt Evaporation Pond Costs'!$B$53</f>
        <v>598366.06587907765</v>
      </c>
      <c r="AH26" s="75">
        <f>AH27 * 'Salt Evaporation Pond Costs'!$B$53</f>
        <v>600829.99746688467</v>
      </c>
      <c r="AI26" s="75">
        <f>AI27 * 'Salt Evaporation Pond Costs'!$B$53</f>
        <v>603293.92905469087</v>
      </c>
      <c r="AJ26" s="75">
        <f>AJ27 * 'Salt Evaporation Pond Costs'!$B$53</f>
        <v>605757.86064249813</v>
      </c>
      <c r="AK26" s="75">
        <f>AK27 * 'Salt Evaporation Pond Costs'!$B$53</f>
        <v>608221.7922303041</v>
      </c>
      <c r="AL26" s="75">
        <f>AL27 * 'Salt Evaporation Pond Costs'!$B$53</f>
        <v>610685.7238181103</v>
      </c>
      <c r="AM26" s="75">
        <f>AM27 * 'Salt Evaporation Pond Costs'!$B$53</f>
        <v>613149.65540591755</v>
      </c>
      <c r="AN26" s="75">
        <f>AN27 * 'Salt Evaporation Pond Costs'!$B$53</f>
        <v>615613.58699372376</v>
      </c>
      <c r="AO26" s="75">
        <f>AO27 * 'Salt Evaporation Pond Costs'!$B$53</f>
        <v>618077.51858152973</v>
      </c>
      <c r="AP26" s="75">
        <f>AP27 * 'Salt Evaporation Pond Costs'!$B$53</f>
        <v>620541.45016933687</v>
      </c>
      <c r="AQ26" s="75">
        <f>AQ27 * 'Salt Evaporation Pond Costs'!$B$53</f>
        <v>623005.38175714307</v>
      </c>
      <c r="AR26" s="75">
        <f>AR27 * 'Salt Evaporation Pond Costs'!$B$53</f>
        <v>625469.31334494916</v>
      </c>
      <c r="AS26" s="75">
        <f>AS27 * 'Salt Evaporation Pond Costs'!$B$53</f>
        <v>627933.24493275641</v>
      </c>
      <c r="AT26" s="75">
        <f>AT27 * 'Salt Evaporation Pond Costs'!$B$53</f>
        <v>630397.17652056238</v>
      </c>
      <c r="AU26" s="75">
        <f>AU27 * 'Salt Evaporation Pond Costs'!$B$53</f>
        <v>632861.10810836859</v>
      </c>
      <c r="AV26" s="75">
        <f>AV27 * 'Salt Evaporation Pond Costs'!$B$53</f>
        <v>635325.03969617572</v>
      </c>
      <c r="AW26" s="75">
        <f>AW27 * 'Salt Evaporation Pond Costs'!$B$53</f>
        <v>637788.97128398181</v>
      </c>
      <c r="AX26" s="75">
        <f>AX27 * 'Salt Evaporation Pond Costs'!$B$53</f>
        <v>640252.90287178801</v>
      </c>
      <c r="AY26" s="75">
        <f>AY27 * 'Salt Evaporation Pond Costs'!$B$53</f>
        <v>642716.83445959515</v>
      </c>
      <c r="AZ26" s="75">
        <f>AZ27 * 'Salt Evaporation Pond Costs'!$B$53</f>
        <v>645180.76604740112</v>
      </c>
      <c r="BA26" s="75">
        <f>BA27 * 'Salt Evaporation Pond Costs'!$B$53</f>
        <v>647644.69763520837</v>
      </c>
      <c r="BB26" s="75">
        <f>BB27 * 'Salt Evaporation Pond Costs'!$B$53</f>
        <v>650108.62922301458</v>
      </c>
      <c r="BC26" s="75">
        <f>BC27 * 'Salt Evaporation Pond Costs'!$B$53</f>
        <v>652572.56081082067</v>
      </c>
      <c r="BD26" s="75">
        <f>BD27 * 'Salt Evaporation Pond Costs'!$B$53</f>
        <v>655036.4923986278</v>
      </c>
      <c r="BE26" s="75">
        <f>BE27 * 'Salt Evaporation Pond Costs'!$B$53</f>
        <v>657500.42398643389</v>
      </c>
      <c r="BF26" s="75">
        <f>BF27 * 'Salt Evaporation Pond Costs'!$B$53</f>
        <v>659964.35557424009</v>
      </c>
      <c r="BG26" s="75">
        <f>BG27 * 'Salt Evaporation Pond Costs'!$B$53</f>
        <v>662428.28716204723</v>
      </c>
      <c r="BH26" s="75">
        <f>BH27 * 'Salt Evaporation Pond Costs'!$B$53</f>
        <v>664892.21874985343</v>
      </c>
      <c r="BI26" s="75"/>
    </row>
    <row r="27" spans="1:61" s="100" customFormat="1" x14ac:dyDescent="0.2">
      <c r="A27" s="100" t="s">
        <v>570</v>
      </c>
      <c r="B27" s="122"/>
      <c r="C27" s="101">
        <f xml:space="preserve"> (C23+C24) / 'Salt Evaporation Pond Costs'!$B$62</f>
        <v>0</v>
      </c>
      <c r="D27" s="101">
        <f xml:space="preserve"> (D23+D24) / 'Salt Evaporation Pond Costs'!$B$62</f>
        <v>0</v>
      </c>
      <c r="E27" s="101">
        <f xml:space="preserve"> (E23+E24) / 'Salt Evaporation Pond Costs'!$B$62</f>
        <v>309.57659732192786</v>
      </c>
      <c r="F27" s="101">
        <f xml:space="preserve"> (F23+F24) / 'Salt Evaporation Pond Costs'!$B$62</f>
        <v>311.01749298731158</v>
      </c>
      <c r="G27" s="101">
        <f xml:space="preserve"> (G23+G24) / 'Salt Evaporation Pond Costs'!$B$62</f>
        <v>312.45838865269531</v>
      </c>
      <c r="H27" s="101">
        <f xml:space="preserve"> (H23+H24) / 'Salt Evaporation Pond Costs'!$B$62</f>
        <v>313.89928431807959</v>
      </c>
      <c r="I27" s="101">
        <f xml:space="preserve"> (I23+I24) / 'Salt Evaporation Pond Costs'!$B$62</f>
        <v>381.91391828506795</v>
      </c>
      <c r="J27" s="101">
        <f xml:space="preserve"> (J23+J24) / 'Salt Evaporation Pond Costs'!$B$62</f>
        <v>620.5808661901342</v>
      </c>
      <c r="K27" s="101">
        <f xml:space="preserve"> (K23+K24) / 'Salt Evaporation Pond Costs'!$B$62</f>
        <v>846.99403867369938</v>
      </c>
      <c r="L27" s="101">
        <f xml:space="preserve"> (L23+L24) / 'Salt Evaporation Pond Costs'!$B$62</f>
        <v>1055.0135983902578</v>
      </c>
      <c r="M27" s="101">
        <f xml:space="preserve"> (M23+M24) / 'Salt Evaporation Pond Costs'!$B$62</f>
        <v>1013.1320663432556</v>
      </c>
      <c r="N27" s="101">
        <f xml:space="preserve"> (N23+N24) / 'Salt Evaporation Pond Costs'!$B$62</f>
        <v>969.55086208701209</v>
      </c>
      <c r="O27" s="101">
        <f xml:space="preserve"> (O23+O24) / 'Salt Evaporation Pond Costs'!$B$62</f>
        <v>926.17906665102646</v>
      </c>
      <c r="P27" s="101">
        <f xml:space="preserve"> (P23+P24) / 'Salt Evaporation Pond Costs'!$B$62</f>
        <v>883.86449691502469</v>
      </c>
      <c r="Q27" s="101">
        <f xml:space="preserve"> (Q23+Q24) / 'Salt Evaporation Pond Costs'!$B$62</f>
        <v>841.06890837986748</v>
      </c>
      <c r="R27" s="101">
        <f xml:space="preserve"> (R23+R24) / 'Salt Evaporation Pond Costs'!$B$62</f>
        <v>799.00993603576705</v>
      </c>
      <c r="S27" s="101">
        <f xml:space="preserve"> (S23+S24) / 'Salt Evaporation Pond Costs'!$B$62</f>
        <v>756.86944789628978</v>
      </c>
      <c r="T27" s="101">
        <f xml:space="preserve"> (T23+T24) / 'Salt Evaporation Pond Costs'!$B$62</f>
        <v>717.36774887270542</v>
      </c>
      <c r="U27" s="101">
        <f xml:space="preserve"> (U23+U24) / 'Salt Evaporation Pond Costs'!$B$62</f>
        <v>677.89395784071621</v>
      </c>
      <c r="V27" s="101">
        <f xml:space="preserve"> (V23+V24) / 'Salt Evaporation Pond Costs'!$B$62</f>
        <v>640.12780366534355</v>
      </c>
      <c r="W27" s="101">
        <f xml:space="preserve"> (W23+W24) / 'Salt Evaporation Pond Costs'!$B$62</f>
        <v>603.15302517818247</v>
      </c>
      <c r="X27" s="101">
        <f xml:space="preserve"> (X23+X24) / 'Salt Evaporation Pond Costs'!$B$62</f>
        <v>568.48169484879031</v>
      </c>
      <c r="Y27" s="101">
        <f xml:space="preserve"> (Y23+Y24) / 'Salt Evaporation Pond Costs'!$B$62</f>
        <v>534.01830687610754</v>
      </c>
      <c r="Z27" s="101">
        <f xml:space="preserve"> (Z23+Z24) / 'Salt Evaporation Pond Costs'!$B$62</f>
        <v>500.38169015713936</v>
      </c>
      <c r="AA27" s="101">
        <f xml:space="preserve"> (AA23+AA24) / 'Salt Evaporation Pond Costs'!$B$62</f>
        <v>452.47431085291487</v>
      </c>
      <c r="AB27" s="101">
        <f xml:space="preserve"> (AB23+AB24) / 'Salt Evaporation Pond Costs'!$B$62</f>
        <v>410.86911341654798</v>
      </c>
      <c r="AC27" s="101">
        <f xml:space="preserve"> (AC23+AC24) / 'Salt Evaporation Pond Costs'!$B$62</f>
        <v>372.6326058990303</v>
      </c>
      <c r="AD27" s="101">
        <f xml:space="preserve"> (AD23+AD24) / 'Salt Evaporation Pond Costs'!$B$62</f>
        <v>345.5989889565252</v>
      </c>
      <c r="AE27" s="101">
        <f xml:space="preserve"> (AE23+AE24) / 'Salt Evaporation Pond Costs'!$B$62</f>
        <v>347.03988462190955</v>
      </c>
      <c r="AF27" s="101">
        <f xml:space="preserve"> (AF23+AF24) / 'Salt Evaporation Pond Costs'!$B$62</f>
        <v>348.48078028729327</v>
      </c>
      <c r="AG27" s="101">
        <f xml:space="preserve"> (AG23+AG24) / 'Salt Evaporation Pond Costs'!$B$62</f>
        <v>349.92167595267699</v>
      </c>
      <c r="AH27" s="101">
        <f xml:space="preserve"> (AH23+AH24) / 'Salt Evaporation Pond Costs'!$B$62</f>
        <v>351.36257161806122</v>
      </c>
      <c r="AI27" s="101">
        <f xml:space="preserve"> (AI23+AI24) / 'Salt Evaporation Pond Costs'!$B$62</f>
        <v>352.80346728344495</v>
      </c>
      <c r="AJ27" s="101">
        <f xml:space="preserve"> (AJ23+AJ24) / 'Salt Evaporation Pond Costs'!$B$62</f>
        <v>354.24436294882929</v>
      </c>
      <c r="AK27" s="101">
        <f xml:space="preserve"> (AK23+AK24) / 'Salt Evaporation Pond Costs'!$B$62</f>
        <v>355.68525861421296</v>
      </c>
      <c r="AL27" s="101">
        <f xml:space="preserve"> (AL23+AL24) / 'Salt Evaporation Pond Costs'!$B$62</f>
        <v>357.12615427959668</v>
      </c>
      <c r="AM27" s="101">
        <f xml:space="preserve"> (AM23+AM24) / 'Salt Evaporation Pond Costs'!$B$62</f>
        <v>358.56704994498102</v>
      </c>
      <c r="AN27" s="101">
        <f xml:space="preserve"> (AN23+AN24) / 'Salt Evaporation Pond Costs'!$B$62</f>
        <v>360.00794561036474</v>
      </c>
      <c r="AO27" s="101">
        <f xml:space="preserve"> (AO23+AO24) / 'Salt Evaporation Pond Costs'!$B$62</f>
        <v>361.44884127574841</v>
      </c>
      <c r="AP27" s="101">
        <f xml:space="preserve"> (AP23+AP24) / 'Salt Evaporation Pond Costs'!$B$62</f>
        <v>362.8897369411327</v>
      </c>
      <c r="AQ27" s="101">
        <f xml:space="preserve"> (AQ23+AQ24) / 'Salt Evaporation Pond Costs'!$B$62</f>
        <v>364.33063260651642</v>
      </c>
      <c r="AR27" s="101">
        <f xml:space="preserve"> (AR23+AR24) / 'Salt Evaporation Pond Costs'!$B$62</f>
        <v>365.77152827190008</v>
      </c>
      <c r="AS27" s="101">
        <f xml:space="preserve"> (AS23+AS24) / 'Salt Evaporation Pond Costs'!$B$62</f>
        <v>367.21242393728443</v>
      </c>
      <c r="AT27" s="101">
        <f xml:space="preserve"> (AT23+AT24) / 'Salt Evaporation Pond Costs'!$B$62</f>
        <v>368.65331960266809</v>
      </c>
      <c r="AU27" s="101">
        <f xml:space="preserve"> (AU23+AU24) / 'Salt Evaporation Pond Costs'!$B$62</f>
        <v>370.09421526805181</v>
      </c>
      <c r="AV27" s="101">
        <f xml:space="preserve"> (AV23+AV24) / 'Salt Evaporation Pond Costs'!$B$62</f>
        <v>371.5351109334361</v>
      </c>
      <c r="AW27" s="101">
        <f xml:space="preserve"> (AW23+AW24) / 'Salt Evaporation Pond Costs'!$B$62</f>
        <v>372.97600659881977</v>
      </c>
      <c r="AX27" s="101">
        <f xml:space="preserve"> (AX23+AX24) / 'Salt Evaporation Pond Costs'!$B$62</f>
        <v>374.41690226420349</v>
      </c>
      <c r="AY27" s="101">
        <f xml:space="preserve"> (AY23+AY24) / 'Salt Evaporation Pond Costs'!$B$62</f>
        <v>375.85779792958778</v>
      </c>
      <c r="AZ27" s="101">
        <f xml:space="preserve"> (AZ23+AZ24) / 'Salt Evaporation Pond Costs'!$B$62</f>
        <v>377.29869359497144</v>
      </c>
      <c r="BA27" s="101">
        <f xml:space="preserve"> (BA23+BA24) / 'Salt Evaporation Pond Costs'!$B$62</f>
        <v>378.73958926035579</v>
      </c>
      <c r="BB27" s="101">
        <f xml:space="preserve"> (BB23+BB24) / 'Salt Evaporation Pond Costs'!$B$62</f>
        <v>380.18048492573951</v>
      </c>
      <c r="BC27" s="101">
        <f xml:space="preserve"> (BC23+BC24) / 'Salt Evaporation Pond Costs'!$B$62</f>
        <v>381.62138059112323</v>
      </c>
      <c r="BD27" s="101">
        <f xml:space="preserve"> (BD23+BD24) / 'Salt Evaporation Pond Costs'!$B$62</f>
        <v>383.06227625650752</v>
      </c>
      <c r="BE27" s="101">
        <f xml:space="preserve"> (BE23+BE24) / 'Salt Evaporation Pond Costs'!$B$62</f>
        <v>384.50317192189118</v>
      </c>
      <c r="BF27" s="101">
        <f xml:space="preserve"> (BF23+BF24) / 'Salt Evaporation Pond Costs'!$B$62</f>
        <v>385.9440675872749</v>
      </c>
      <c r="BG27" s="101">
        <f xml:space="preserve"> (BG23+BG24) / 'Salt Evaporation Pond Costs'!$B$62</f>
        <v>387.38496325265919</v>
      </c>
      <c r="BH27" s="101">
        <f xml:space="preserve"> (BH23+BH24) / 'Salt Evaporation Pond Costs'!$B$62</f>
        <v>388.82585891804297</v>
      </c>
      <c r="BI27" s="102"/>
    </row>
    <row r="28" spans="1:61" x14ac:dyDescent="0.2">
      <c r="A28" t="s">
        <v>602</v>
      </c>
      <c r="B28" s="86">
        <v>2.94</v>
      </c>
      <c r="C28" s="78">
        <v>102</v>
      </c>
      <c r="D28" s="10">
        <f xml:space="preserve"> C28 + $B28</f>
        <v>104.94</v>
      </c>
      <c r="E28" s="10">
        <f t="shared" ref="E28:AO28" si="43" xml:space="preserve"> D28 + $B28</f>
        <v>107.88</v>
      </c>
      <c r="F28" s="10">
        <f t="shared" si="43"/>
        <v>110.82</v>
      </c>
      <c r="G28" s="10">
        <f t="shared" si="43"/>
        <v>113.75999999999999</v>
      </c>
      <c r="H28" s="10">
        <f t="shared" si="43"/>
        <v>116.69999999999999</v>
      </c>
      <c r="I28" s="10">
        <f t="shared" si="43"/>
        <v>119.63999999999999</v>
      </c>
      <c r="J28" s="10">
        <f t="shared" si="43"/>
        <v>122.57999999999998</v>
      </c>
      <c r="K28" s="10">
        <f t="shared" si="43"/>
        <v>125.51999999999998</v>
      </c>
      <c r="L28" s="10">
        <f t="shared" si="43"/>
        <v>128.45999999999998</v>
      </c>
      <c r="M28" s="10">
        <f t="shared" si="43"/>
        <v>131.39999999999998</v>
      </c>
      <c r="N28" s="10">
        <f t="shared" si="43"/>
        <v>134.33999999999997</v>
      </c>
      <c r="O28" s="10">
        <f t="shared" si="43"/>
        <v>137.27999999999997</v>
      </c>
      <c r="P28" s="10">
        <f t="shared" si="43"/>
        <v>140.21999999999997</v>
      </c>
      <c r="Q28" s="10">
        <f t="shared" si="43"/>
        <v>143.15999999999997</v>
      </c>
      <c r="R28" s="10">
        <f t="shared" si="43"/>
        <v>146.09999999999997</v>
      </c>
      <c r="S28" s="10">
        <f t="shared" si="43"/>
        <v>149.03999999999996</v>
      </c>
      <c r="T28" s="10">
        <f t="shared" si="43"/>
        <v>151.97999999999996</v>
      </c>
      <c r="U28" s="10">
        <f t="shared" si="43"/>
        <v>154.91999999999996</v>
      </c>
      <c r="V28" s="10">
        <f t="shared" si="43"/>
        <v>157.85999999999996</v>
      </c>
      <c r="W28" s="10">
        <f t="shared" si="43"/>
        <v>160.79999999999995</v>
      </c>
      <c r="X28" s="10">
        <f t="shared" si="43"/>
        <v>163.73999999999995</v>
      </c>
      <c r="Y28" s="10">
        <f t="shared" si="43"/>
        <v>166.67999999999995</v>
      </c>
      <c r="Z28" s="10">
        <f t="shared" si="43"/>
        <v>169.61999999999995</v>
      </c>
      <c r="AA28" s="10">
        <f t="shared" si="43"/>
        <v>172.55999999999995</v>
      </c>
      <c r="AB28" s="10">
        <f t="shared" si="43"/>
        <v>175.49999999999994</v>
      </c>
      <c r="AC28" s="10">
        <f t="shared" si="43"/>
        <v>178.43999999999994</v>
      </c>
      <c r="AD28" s="10">
        <f t="shared" si="43"/>
        <v>181.37999999999994</v>
      </c>
      <c r="AE28" s="10">
        <f t="shared" si="43"/>
        <v>184.31999999999994</v>
      </c>
      <c r="AF28" s="10">
        <f t="shared" si="43"/>
        <v>187.25999999999993</v>
      </c>
      <c r="AG28" s="10">
        <f t="shared" si="43"/>
        <v>190.19999999999993</v>
      </c>
      <c r="AH28" s="10">
        <f t="shared" si="43"/>
        <v>193.13999999999993</v>
      </c>
      <c r="AI28" s="10">
        <f t="shared" si="43"/>
        <v>196.07999999999993</v>
      </c>
      <c r="AJ28" s="10">
        <f t="shared" si="43"/>
        <v>199.01999999999992</v>
      </c>
      <c r="AK28" s="10">
        <f t="shared" si="43"/>
        <v>201.95999999999992</v>
      </c>
      <c r="AL28" s="10">
        <f t="shared" si="43"/>
        <v>204.89999999999992</v>
      </c>
      <c r="AM28" s="10">
        <f t="shared" si="43"/>
        <v>207.83999999999992</v>
      </c>
      <c r="AN28" s="10">
        <f t="shared" si="43"/>
        <v>210.77999999999992</v>
      </c>
      <c r="AO28" s="10">
        <f t="shared" si="43"/>
        <v>213.71999999999991</v>
      </c>
      <c r="AP28" s="10">
        <f t="shared" ref="AP28" si="44" xml:space="preserve"> AO28 + $B28</f>
        <v>216.65999999999991</v>
      </c>
      <c r="AQ28" s="10">
        <f t="shared" ref="AQ28" si="45" xml:space="preserve"> AP28 + $B28</f>
        <v>219.59999999999991</v>
      </c>
      <c r="AR28" s="10">
        <f t="shared" ref="AR28" si="46" xml:space="preserve"> AQ28 + $B28</f>
        <v>222.53999999999991</v>
      </c>
      <c r="AS28" s="10">
        <f t="shared" ref="AS28" si="47" xml:space="preserve"> AR28 + $B28</f>
        <v>225.4799999999999</v>
      </c>
      <c r="AT28" s="10">
        <f t="shared" ref="AT28" si="48" xml:space="preserve"> AS28 + $B28</f>
        <v>228.4199999999999</v>
      </c>
      <c r="AU28" s="10">
        <f t="shared" ref="AU28" si="49" xml:space="preserve"> AT28 + $B28</f>
        <v>231.3599999999999</v>
      </c>
      <c r="AV28" s="10">
        <f t="shared" ref="AV28" si="50" xml:space="preserve"> AU28 + $B28</f>
        <v>234.2999999999999</v>
      </c>
      <c r="AW28" s="10">
        <f t="shared" ref="AW28" si="51" xml:space="preserve"> AV28 + $B28</f>
        <v>237.2399999999999</v>
      </c>
      <c r="AX28" s="10">
        <f t="shared" ref="AX28" si="52" xml:space="preserve"> AW28 + $B28</f>
        <v>240.17999999999989</v>
      </c>
      <c r="AY28" s="10">
        <f t="shared" ref="AY28" si="53" xml:space="preserve"> AX28 + $B28</f>
        <v>243.11999999999989</v>
      </c>
      <c r="AZ28" s="10">
        <f t="shared" ref="AZ28" si="54" xml:space="preserve"> AY28 + $B28</f>
        <v>246.05999999999989</v>
      </c>
      <c r="BA28" s="10">
        <f t="shared" ref="BA28" si="55" xml:space="preserve"> AZ28 + $B28</f>
        <v>248.99999999999989</v>
      </c>
      <c r="BB28" s="10">
        <f t="shared" ref="BB28" si="56" xml:space="preserve"> BA28 + $B28</f>
        <v>251.93999999999988</v>
      </c>
      <c r="BC28" s="10">
        <f t="shared" ref="BC28" si="57" xml:space="preserve"> BB28 + $B28</f>
        <v>254.87999999999988</v>
      </c>
      <c r="BD28" s="10">
        <f t="shared" ref="BD28" si="58" xml:space="preserve"> BC28 + $B28</f>
        <v>257.81999999999988</v>
      </c>
      <c r="BE28" s="10">
        <f t="shared" ref="BE28" si="59" xml:space="preserve"> BD28 + $B28</f>
        <v>260.75999999999988</v>
      </c>
      <c r="BF28" s="10">
        <f t="shared" ref="BF28" si="60" xml:space="preserve"> BE28 + $B28</f>
        <v>263.69999999999987</v>
      </c>
      <c r="BG28" s="10">
        <f t="shared" ref="BG28:BH28" si="61" xml:space="preserve"> BF28 + $B28</f>
        <v>266.63999999999987</v>
      </c>
      <c r="BH28" s="10">
        <f t="shared" si="61"/>
        <v>269.57999999999987</v>
      </c>
      <c r="BI28" s="10"/>
    </row>
    <row r="29" spans="1:61" s="76" customFormat="1" x14ac:dyDescent="0.2">
      <c r="A29" s="76" t="s">
        <v>12</v>
      </c>
      <c r="B29" s="123"/>
      <c r="C29" s="77">
        <f t="shared" ref="C29:AM29" si="62">C24*C28</f>
        <v>0</v>
      </c>
      <c r="D29" s="77">
        <f t="shared" si="62"/>
        <v>0</v>
      </c>
      <c r="E29" s="77">
        <f t="shared" si="62"/>
        <v>146967254.20800009</v>
      </c>
      <c r="F29" s="77">
        <f>F24*F28</f>
        <v>151675167.16800001</v>
      </c>
      <c r="G29" s="77">
        <f t="shared" si="62"/>
        <v>156420364.03199992</v>
      </c>
      <c r="H29" s="77">
        <f t="shared" si="62"/>
        <v>161202844.8000001</v>
      </c>
      <c r="I29" s="77">
        <f t="shared" si="62"/>
        <v>166022609.47199997</v>
      </c>
      <c r="J29" s="77">
        <f t="shared" si="62"/>
        <v>170879658.04799989</v>
      </c>
      <c r="K29" s="77">
        <f t="shared" si="62"/>
        <v>175773990.52800009</v>
      </c>
      <c r="L29" s="77">
        <f t="shared" si="62"/>
        <v>180705606.91199997</v>
      </c>
      <c r="M29" s="77">
        <f t="shared" si="62"/>
        <v>185674507.19999984</v>
      </c>
      <c r="N29" s="77">
        <f t="shared" si="62"/>
        <v>190680691.39200008</v>
      </c>
      <c r="O29" s="77">
        <f t="shared" si="62"/>
        <v>195724159.48799992</v>
      </c>
      <c r="P29" s="77">
        <f t="shared" si="62"/>
        <v>200804911.48799977</v>
      </c>
      <c r="Q29" s="77">
        <f t="shared" si="62"/>
        <v>205922947.39200005</v>
      </c>
      <c r="R29" s="77">
        <f t="shared" si="62"/>
        <v>211078267.19999987</v>
      </c>
      <c r="S29" s="77">
        <f t="shared" si="62"/>
        <v>216270870.91200012</v>
      </c>
      <c r="T29" s="77">
        <f t="shared" si="62"/>
        <v>221500758.528</v>
      </c>
      <c r="U29" s="77">
        <f t="shared" si="62"/>
        <v>226767930.04799983</v>
      </c>
      <c r="V29" s="77">
        <f t="shared" si="62"/>
        <v>232072385.47200012</v>
      </c>
      <c r="W29" s="77">
        <f t="shared" si="62"/>
        <v>237414124.79999998</v>
      </c>
      <c r="X29" s="77">
        <f t="shared" si="62"/>
        <v>242793148.0319998</v>
      </c>
      <c r="Y29" s="77">
        <f t="shared" si="62"/>
        <v>248209455.1680001</v>
      </c>
      <c r="Z29" s="77">
        <f t="shared" si="62"/>
        <v>253663046.20799994</v>
      </c>
      <c r="AA29" s="77">
        <f t="shared" si="62"/>
        <v>259153921.15199974</v>
      </c>
      <c r="AB29" s="77">
        <f t="shared" si="62"/>
        <v>264682080.00000003</v>
      </c>
      <c r="AC29" s="77">
        <f t="shared" si="62"/>
        <v>270247522.75199986</v>
      </c>
      <c r="AD29" s="77">
        <f t="shared" si="62"/>
        <v>275850249.40799969</v>
      </c>
      <c r="AE29" s="77">
        <f t="shared" si="62"/>
        <v>281490259.96799999</v>
      </c>
      <c r="AF29" s="77">
        <f t="shared" si="62"/>
        <v>287167554.43199986</v>
      </c>
      <c r="AG29" s="77">
        <f t="shared" si="62"/>
        <v>292882132.79999965</v>
      </c>
      <c r="AH29" s="77">
        <f t="shared" si="62"/>
        <v>298633995.07199997</v>
      </c>
      <c r="AI29" s="77">
        <f t="shared" si="62"/>
        <v>304423141.24799979</v>
      </c>
      <c r="AJ29" s="77">
        <f t="shared" si="62"/>
        <v>310249571.32800013</v>
      </c>
      <c r="AK29" s="77">
        <f t="shared" si="62"/>
        <v>316113285.31199992</v>
      </c>
      <c r="AL29" s="77">
        <f t="shared" si="62"/>
        <v>322014283.19999975</v>
      </c>
      <c r="AM29" s="77">
        <f t="shared" si="62"/>
        <v>327952564.9920001</v>
      </c>
      <c r="AN29" s="77">
        <f t="shared" ref="AN29:AP29" si="63">AN24*AN28</f>
        <v>333928130.68799996</v>
      </c>
      <c r="AO29" s="77">
        <f t="shared" si="63"/>
        <v>339940980.28799969</v>
      </c>
      <c r="AP29" s="77">
        <f t="shared" si="63"/>
        <v>345991113.79200006</v>
      </c>
      <c r="AQ29" s="77">
        <f t="shared" ref="AQ29:AS29" si="64">AQ24*AQ28</f>
        <v>352078531.19999987</v>
      </c>
      <c r="AR29" s="77">
        <f t="shared" si="64"/>
        <v>358203232.51199961</v>
      </c>
      <c r="AS29" s="77">
        <f t="shared" si="64"/>
        <v>364365217.72800004</v>
      </c>
      <c r="AT29" s="77">
        <f t="shared" ref="AT29:AY29" si="65">AT24*AT28</f>
        <v>370564486.84799975</v>
      </c>
      <c r="AU29" s="77">
        <f t="shared" si="65"/>
        <v>376801039.87199962</v>
      </c>
      <c r="AV29" s="77">
        <f t="shared" si="65"/>
        <v>383074876.80000001</v>
      </c>
      <c r="AW29" s="77">
        <f t="shared" si="65"/>
        <v>389385997.63199973</v>
      </c>
      <c r="AX29" s="77">
        <f t="shared" si="65"/>
        <v>395734402.36799949</v>
      </c>
      <c r="AY29" s="77">
        <f t="shared" si="65"/>
        <v>402120091.0079999</v>
      </c>
      <c r="AZ29" s="77">
        <f t="shared" ref="AZ29:BE29" si="66">AZ24*AZ28</f>
        <v>408543063.55199963</v>
      </c>
      <c r="BA29" s="77">
        <f t="shared" si="66"/>
        <v>415003320.00000012</v>
      </c>
      <c r="BB29" s="77">
        <f t="shared" si="66"/>
        <v>421500860.35199988</v>
      </c>
      <c r="BC29" s="77">
        <f t="shared" si="66"/>
        <v>428035684.60799962</v>
      </c>
      <c r="BD29" s="77">
        <f t="shared" si="66"/>
        <v>434607792.76800007</v>
      </c>
      <c r="BE29" s="77">
        <f t="shared" si="66"/>
        <v>441217184.83199978</v>
      </c>
      <c r="BF29" s="77">
        <f t="shared" ref="BF29:BG29" si="67">BF24*BF28</f>
        <v>447863860.79999954</v>
      </c>
      <c r="BG29" s="77">
        <f t="shared" si="67"/>
        <v>454547820.67199999</v>
      </c>
      <c r="BH29" s="77">
        <f t="shared" ref="BH29" si="68">BH24*BH28</f>
        <v>461269064.44799978</v>
      </c>
      <c r="BI29" s="77"/>
    </row>
    <row r="30" spans="1:61" x14ac:dyDescent="0.2">
      <c r="B30" s="3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</row>
    <row r="31" spans="1:61" x14ac:dyDescent="0.2">
      <c r="A31" t="s">
        <v>13</v>
      </c>
      <c r="B31" s="31"/>
      <c r="C31" s="94">
        <f t="shared" ref="C31:AL31" si="69" xml:space="preserve"> D32</f>
        <v>2</v>
      </c>
      <c r="D31" s="94">
        <f t="shared" si="69"/>
        <v>0</v>
      </c>
      <c r="E31" s="94">
        <f t="shared" si="69"/>
        <v>13</v>
      </c>
      <c r="F31" s="94">
        <f t="shared" si="69"/>
        <v>6</v>
      </c>
      <c r="G31" s="94">
        <f t="shared" si="69"/>
        <v>0</v>
      </c>
      <c r="H31" s="94">
        <f t="shared" si="69"/>
        <v>0</v>
      </c>
      <c r="I31" s="94">
        <f t="shared" si="69"/>
        <v>0</v>
      </c>
      <c r="J31" s="94">
        <f t="shared" si="69"/>
        <v>0</v>
      </c>
      <c r="K31" s="94">
        <f t="shared" si="69"/>
        <v>0</v>
      </c>
      <c r="L31" s="94">
        <f t="shared" si="69"/>
        <v>0</v>
      </c>
      <c r="M31" s="94">
        <f t="shared" si="69"/>
        <v>0</v>
      </c>
      <c r="N31" s="94">
        <f t="shared" si="69"/>
        <v>0</v>
      </c>
      <c r="O31" s="94">
        <f t="shared" si="69"/>
        <v>0</v>
      </c>
      <c r="P31" s="94">
        <f t="shared" si="69"/>
        <v>0</v>
      </c>
      <c r="Q31" s="94">
        <f t="shared" si="69"/>
        <v>0</v>
      </c>
      <c r="R31" s="94">
        <f t="shared" si="69"/>
        <v>0</v>
      </c>
      <c r="S31" s="94">
        <f t="shared" si="69"/>
        <v>0</v>
      </c>
      <c r="T31" s="94">
        <f t="shared" si="69"/>
        <v>0</v>
      </c>
      <c r="U31" s="94">
        <f t="shared" si="69"/>
        <v>0</v>
      </c>
      <c r="V31" s="94">
        <f t="shared" si="69"/>
        <v>0</v>
      </c>
      <c r="W31" s="94">
        <f t="shared" si="69"/>
        <v>0</v>
      </c>
      <c r="X31" s="94">
        <f t="shared" si="69"/>
        <v>0</v>
      </c>
      <c r="Y31" s="94">
        <f t="shared" si="69"/>
        <v>0</v>
      </c>
      <c r="Z31" s="94">
        <f t="shared" si="69"/>
        <v>0</v>
      </c>
      <c r="AA31" s="94">
        <f t="shared" si="69"/>
        <v>0</v>
      </c>
      <c r="AB31" s="94">
        <f t="shared" si="69"/>
        <v>0</v>
      </c>
      <c r="AC31" s="94">
        <f t="shared" si="69"/>
        <v>0</v>
      </c>
      <c r="AD31" s="94">
        <f t="shared" si="69"/>
        <v>0</v>
      </c>
      <c r="AE31" s="94">
        <f t="shared" si="69"/>
        <v>0</v>
      </c>
      <c r="AF31" s="94">
        <f t="shared" si="69"/>
        <v>0</v>
      </c>
      <c r="AG31" s="94">
        <f t="shared" si="69"/>
        <v>0</v>
      </c>
      <c r="AH31" s="94">
        <f t="shared" si="69"/>
        <v>0</v>
      </c>
      <c r="AI31" s="94">
        <f t="shared" si="69"/>
        <v>0</v>
      </c>
      <c r="AJ31" s="94">
        <f t="shared" si="69"/>
        <v>0</v>
      </c>
      <c r="AK31" s="94">
        <f t="shared" si="69"/>
        <v>0</v>
      </c>
      <c r="AL31" s="94">
        <f t="shared" si="69"/>
        <v>3</v>
      </c>
      <c r="AM31" s="94">
        <f t="shared" ref="AM31:BH31" si="70" xml:space="preserve"> BI32</f>
        <v>0</v>
      </c>
      <c r="AN31" s="94">
        <f t="shared" si="70"/>
        <v>0</v>
      </c>
      <c r="AO31" s="94">
        <f t="shared" si="70"/>
        <v>0</v>
      </c>
      <c r="AP31" s="94">
        <f t="shared" si="70"/>
        <v>0</v>
      </c>
      <c r="AQ31" s="94">
        <f t="shared" si="70"/>
        <v>0</v>
      </c>
      <c r="AR31" s="94">
        <f t="shared" si="70"/>
        <v>0</v>
      </c>
      <c r="AS31" s="94">
        <f t="shared" si="70"/>
        <v>0</v>
      </c>
      <c r="AT31" s="94">
        <f t="shared" si="70"/>
        <v>0</v>
      </c>
      <c r="AU31" s="94">
        <f t="shared" si="70"/>
        <v>0</v>
      </c>
      <c r="AV31" s="94">
        <f t="shared" si="70"/>
        <v>0</v>
      </c>
      <c r="AW31" s="94">
        <f t="shared" si="70"/>
        <v>0</v>
      </c>
      <c r="AX31" s="94">
        <f t="shared" si="70"/>
        <v>0</v>
      </c>
      <c r="AY31" s="94">
        <f t="shared" si="70"/>
        <v>0</v>
      </c>
      <c r="AZ31" s="94">
        <f t="shared" si="70"/>
        <v>0</v>
      </c>
      <c r="BA31" s="94">
        <f t="shared" si="70"/>
        <v>0</v>
      </c>
      <c r="BB31" s="94">
        <f t="shared" si="70"/>
        <v>0</v>
      </c>
      <c r="BC31" s="94">
        <f t="shared" si="70"/>
        <v>0</v>
      </c>
      <c r="BD31" s="94">
        <f t="shared" si="70"/>
        <v>0</v>
      </c>
      <c r="BE31" s="94">
        <f t="shared" si="70"/>
        <v>0</v>
      </c>
      <c r="BF31" s="94">
        <f t="shared" si="70"/>
        <v>0</v>
      </c>
      <c r="BG31" s="94">
        <f t="shared" si="70"/>
        <v>0</v>
      </c>
      <c r="BH31" s="94">
        <f t="shared" si="70"/>
        <v>0</v>
      </c>
    </row>
    <row r="32" spans="1:61" x14ac:dyDescent="0.2">
      <c r="A32" t="s">
        <v>14</v>
      </c>
      <c r="B32" s="31"/>
      <c r="C32" s="94">
        <f xml:space="preserve"> IF(D33-C33&gt;0, D33-C33, IF(D33-C33&lt;0, C33-D33,0))</f>
        <v>0</v>
      </c>
      <c r="D32" s="94">
        <f t="shared" ref="D32:BH32" si="71" xml:space="preserve"> IF(E33-D33&gt;0, E33-D33, IF(E33-D33&lt;0, D33-E33,0))</f>
        <v>2</v>
      </c>
      <c r="E32" s="94">
        <f t="shared" si="71"/>
        <v>0</v>
      </c>
      <c r="F32" s="94">
        <f t="shared" si="71"/>
        <v>13</v>
      </c>
      <c r="G32" s="94">
        <f t="shared" si="71"/>
        <v>6</v>
      </c>
      <c r="H32" s="94">
        <f t="shared" si="71"/>
        <v>0</v>
      </c>
      <c r="I32" s="94">
        <f t="shared" si="71"/>
        <v>0</v>
      </c>
      <c r="J32" s="94">
        <f t="shared" si="71"/>
        <v>0</v>
      </c>
      <c r="K32" s="94">
        <f t="shared" si="71"/>
        <v>0</v>
      </c>
      <c r="L32" s="94">
        <f t="shared" si="71"/>
        <v>0</v>
      </c>
      <c r="M32" s="94">
        <f t="shared" si="71"/>
        <v>0</v>
      </c>
      <c r="N32" s="94">
        <f t="shared" si="71"/>
        <v>0</v>
      </c>
      <c r="O32" s="94">
        <f t="shared" si="71"/>
        <v>0</v>
      </c>
      <c r="P32" s="94">
        <f t="shared" si="71"/>
        <v>0</v>
      </c>
      <c r="Q32" s="94">
        <f t="shared" si="71"/>
        <v>0</v>
      </c>
      <c r="R32" s="94">
        <f t="shared" si="71"/>
        <v>0</v>
      </c>
      <c r="S32" s="94">
        <f t="shared" si="71"/>
        <v>0</v>
      </c>
      <c r="T32" s="94">
        <f t="shared" si="71"/>
        <v>0</v>
      </c>
      <c r="U32" s="94">
        <f t="shared" si="71"/>
        <v>0</v>
      </c>
      <c r="V32" s="94">
        <f t="shared" si="71"/>
        <v>0</v>
      </c>
      <c r="W32" s="94">
        <f t="shared" si="71"/>
        <v>0</v>
      </c>
      <c r="X32" s="94">
        <f t="shared" si="71"/>
        <v>0</v>
      </c>
      <c r="Y32" s="94">
        <f t="shared" si="71"/>
        <v>0</v>
      </c>
      <c r="Z32" s="94">
        <f t="shared" si="71"/>
        <v>0</v>
      </c>
      <c r="AA32" s="94">
        <f t="shared" si="71"/>
        <v>0</v>
      </c>
      <c r="AB32" s="94">
        <f t="shared" si="71"/>
        <v>0</v>
      </c>
      <c r="AC32" s="94">
        <f t="shared" si="71"/>
        <v>0</v>
      </c>
      <c r="AD32" s="94">
        <f t="shared" si="71"/>
        <v>0</v>
      </c>
      <c r="AE32" s="94">
        <f t="shared" si="71"/>
        <v>0</v>
      </c>
      <c r="AF32" s="94">
        <f t="shared" si="71"/>
        <v>0</v>
      </c>
      <c r="AG32" s="94">
        <f t="shared" si="71"/>
        <v>0</v>
      </c>
      <c r="AH32" s="94">
        <f t="shared" si="71"/>
        <v>0</v>
      </c>
      <c r="AI32" s="94">
        <f t="shared" si="71"/>
        <v>0</v>
      </c>
      <c r="AJ32" s="94">
        <f t="shared" si="71"/>
        <v>0</v>
      </c>
      <c r="AK32" s="94">
        <f t="shared" si="71"/>
        <v>0</v>
      </c>
      <c r="AL32" s="94">
        <f t="shared" si="71"/>
        <v>0</v>
      </c>
      <c r="AM32" s="94">
        <f t="shared" si="71"/>
        <v>3</v>
      </c>
      <c r="AN32" s="94">
        <f t="shared" si="71"/>
        <v>4</v>
      </c>
      <c r="AO32" s="94">
        <f t="shared" si="71"/>
        <v>0</v>
      </c>
      <c r="AP32" s="94">
        <f t="shared" si="71"/>
        <v>0</v>
      </c>
      <c r="AQ32" s="94">
        <f t="shared" si="71"/>
        <v>0</v>
      </c>
      <c r="AR32" s="94">
        <f t="shared" si="71"/>
        <v>0</v>
      </c>
      <c r="AS32" s="94">
        <f t="shared" si="71"/>
        <v>0</v>
      </c>
      <c r="AT32" s="94">
        <f t="shared" si="71"/>
        <v>0</v>
      </c>
      <c r="AU32" s="94">
        <f t="shared" si="71"/>
        <v>0</v>
      </c>
      <c r="AV32" s="94">
        <f t="shared" si="71"/>
        <v>0</v>
      </c>
      <c r="AW32" s="94">
        <f t="shared" si="71"/>
        <v>0</v>
      </c>
      <c r="AX32" s="94">
        <f t="shared" si="71"/>
        <v>0</v>
      </c>
      <c r="AY32" s="94">
        <f t="shared" si="71"/>
        <v>0</v>
      </c>
      <c r="AZ32" s="94">
        <f t="shared" si="71"/>
        <v>0</v>
      </c>
      <c r="BA32" s="94">
        <f t="shared" si="71"/>
        <v>0</v>
      </c>
      <c r="BB32" s="94">
        <f t="shared" si="71"/>
        <v>0</v>
      </c>
      <c r="BC32" s="94">
        <f t="shared" si="71"/>
        <v>0</v>
      </c>
      <c r="BD32" s="94">
        <f t="shared" si="71"/>
        <v>0</v>
      </c>
      <c r="BE32" s="94">
        <f t="shared" si="71"/>
        <v>0</v>
      </c>
      <c r="BF32" s="94">
        <f t="shared" si="71"/>
        <v>0</v>
      </c>
      <c r="BG32" s="94">
        <f t="shared" si="71"/>
        <v>0</v>
      </c>
      <c r="BH32" s="94">
        <f t="shared" si="71"/>
        <v>0</v>
      </c>
    </row>
    <row r="33" spans="1:61" x14ac:dyDescent="0.2">
      <c r="A33" t="s">
        <v>15</v>
      </c>
      <c r="B33" s="5">
        <v>21</v>
      </c>
      <c r="C33">
        <f>IF(ROUNDDOWN(1*(C63/'Levellized Salt Refinery Plant '!$C$53),0) &lt; $B33, ROUNDDOWN(1*(C63/'Levellized Salt Refinery Plant '!$C$53),0),$B33)</f>
        <v>0</v>
      </c>
      <c r="D33">
        <f>IF(ROUNDDOWN(1*(D63/'Levellized Salt Refinery Plant '!$C$53),0) &lt; $B33, ROUNDDOWN(1*(D63/'Levellized Salt Refinery Plant '!$C$53),0),$B33)</f>
        <v>0</v>
      </c>
      <c r="E33">
        <f>IF(ROUNDDOWN(1*(E63/'Levellized Salt Refinery Plant '!$C$53),0) &lt; $B33, ROUNDDOWN(1*(E63/'Levellized Salt Refinery Plant '!$C$53),0),$B33)</f>
        <v>2</v>
      </c>
      <c r="F33">
        <f>IF(ROUNDDOWN(1*(F63/'Levellized Salt Refinery Plant '!$C$53),0) &lt; $B33, ROUNDDOWN(1*(F63/'Levellized Salt Refinery Plant '!$C$53),0),$B33)</f>
        <v>2</v>
      </c>
      <c r="G33">
        <f>IF(ROUNDDOWN(1*(G63/'Levellized Salt Refinery Plant '!$C$53),0) &lt; $B33, ROUNDDOWN(1*(G63/'Levellized Salt Refinery Plant '!$C$53),0),$B33)</f>
        <v>15</v>
      </c>
      <c r="H33">
        <f>IF(ROUNDDOWN(1*(H63/'Levellized Salt Refinery Plant '!$C$53),0) &lt; $B33, ROUNDDOWN(1*(H63/'Levellized Salt Refinery Plant '!$C$53),0),$B33)</f>
        <v>21</v>
      </c>
      <c r="I33">
        <f>IF(ROUNDDOWN(1*(I63/'Levellized Salt Refinery Plant '!$C$53),0) &lt; $B33, ROUNDDOWN(1*(I63/'Levellized Salt Refinery Plant '!$C$53),0),$B33)</f>
        <v>21</v>
      </c>
      <c r="J33">
        <f>IF(ROUNDDOWN(1*(J63/'Levellized Salt Refinery Plant '!$C$53),0) &lt; $B33, ROUNDDOWN(1*(J63/'Levellized Salt Refinery Plant '!$C$53),0),$B33)</f>
        <v>21</v>
      </c>
      <c r="K33">
        <f>IF(ROUNDDOWN(1*(K63/'Levellized Salt Refinery Plant '!$C$53),0) &lt; $B33, ROUNDDOWN(1*(K63/'Levellized Salt Refinery Plant '!$C$53),0),$B33)</f>
        <v>21</v>
      </c>
      <c r="L33">
        <f>IF(ROUNDDOWN(1*(L63/'Levellized Salt Refinery Plant '!$C$53),0) &lt; $B33, ROUNDDOWN(1*(L63/'Levellized Salt Refinery Plant '!$C$53),0),$B33)</f>
        <v>21</v>
      </c>
      <c r="M33">
        <f>IF(ROUNDDOWN(1*(M63/'Levellized Salt Refinery Plant '!$C$53),0) &lt; $B33, ROUNDDOWN(1*(M63/'Levellized Salt Refinery Plant '!$C$53),0),$B33)</f>
        <v>21</v>
      </c>
      <c r="N33">
        <f>IF(ROUNDDOWN(1*(N63/'Levellized Salt Refinery Plant '!$C$53),0) &lt; $B33, ROUNDDOWN(1*(N63/'Levellized Salt Refinery Plant '!$C$53),0),$B33)</f>
        <v>21</v>
      </c>
      <c r="O33">
        <f>IF(ROUNDDOWN(1*(O63/'Levellized Salt Refinery Plant '!$C$53),0) &lt; $B33, ROUNDDOWN(1*(O63/'Levellized Salt Refinery Plant '!$C$53),0),$B33)</f>
        <v>21</v>
      </c>
      <c r="P33">
        <f>IF(ROUNDDOWN(1*(P63/'Levellized Salt Refinery Plant '!$C$53),0) &lt; $B33, ROUNDDOWN(1*(P63/'Levellized Salt Refinery Plant '!$C$53),0),$B33)</f>
        <v>21</v>
      </c>
      <c r="Q33">
        <f>IF(ROUNDDOWN(1*(Q63/'Levellized Salt Refinery Plant '!$C$53),0) &lt; $B33, ROUNDDOWN(1*(Q63/'Levellized Salt Refinery Plant '!$C$53),0),$B33)</f>
        <v>21</v>
      </c>
      <c r="R33">
        <f>IF(ROUNDDOWN(1*(R63/'Levellized Salt Refinery Plant '!$C$53),0) &lt; $B33, ROUNDDOWN(1*(R63/'Levellized Salt Refinery Plant '!$C$53),0),$B33)</f>
        <v>21</v>
      </c>
      <c r="S33">
        <f>IF(ROUNDDOWN(1*(S63/'Levellized Salt Refinery Plant '!$C$53),0) &lt; $B33, ROUNDDOWN(1*(S63/'Levellized Salt Refinery Plant '!$C$53),0),$B33)</f>
        <v>21</v>
      </c>
      <c r="T33">
        <f>IF(ROUNDDOWN(1*(T63/'Levellized Salt Refinery Plant '!$C$53),0) &lt; $B33, ROUNDDOWN(1*(T63/'Levellized Salt Refinery Plant '!$C$53),0),$B33)</f>
        <v>21</v>
      </c>
      <c r="U33">
        <f>IF(ROUNDDOWN(1*(U63/'Levellized Salt Refinery Plant '!$C$53),0) &lt; $B33, ROUNDDOWN(1*(U63/'Levellized Salt Refinery Plant '!$C$53),0),$B33)</f>
        <v>21</v>
      </c>
      <c r="V33">
        <f>IF(ROUNDDOWN(1*(V63/'Levellized Salt Refinery Plant '!$C$53),0) &lt; $B33, ROUNDDOWN(1*(V63/'Levellized Salt Refinery Plant '!$C$53),0),$B33)</f>
        <v>21</v>
      </c>
      <c r="W33">
        <f>IF(ROUNDDOWN(1*(W63/'Levellized Salt Refinery Plant '!$C$53),0) &lt; $B33, ROUNDDOWN(1*(W63/'Levellized Salt Refinery Plant '!$C$53),0),$B33)</f>
        <v>21</v>
      </c>
      <c r="X33">
        <f>IF(ROUNDDOWN(1*(X63/'Levellized Salt Refinery Plant '!$C$53),0) &lt; $B33, ROUNDDOWN(1*(X63/'Levellized Salt Refinery Plant '!$C$53),0),$B33)</f>
        <v>21</v>
      </c>
      <c r="Y33">
        <f>IF(ROUNDDOWN(1*(Y63/'Levellized Salt Refinery Plant '!$C$53),0) &lt; $B33, ROUNDDOWN(1*(Y63/'Levellized Salt Refinery Plant '!$C$53),0),$B33)</f>
        <v>21</v>
      </c>
      <c r="Z33">
        <f>IF(ROUNDDOWN(1*(Z63/'Levellized Salt Refinery Plant '!$C$53),0) &lt; $B33, ROUNDDOWN(1*(Z63/'Levellized Salt Refinery Plant '!$C$53),0),$B33)</f>
        <v>21</v>
      </c>
      <c r="AA33">
        <f>IF(ROUNDDOWN(1*(AA63/'Levellized Salt Refinery Plant '!$C$53),0) &lt; $B33, ROUNDDOWN(1*(AA63/'Levellized Salt Refinery Plant '!$C$53),0),$B33)</f>
        <v>21</v>
      </c>
      <c r="AB33">
        <f>IF(ROUNDDOWN(1*(AB63/'Levellized Salt Refinery Plant '!$C$53),0) &lt; $B33, ROUNDDOWN(1*(AB63/'Levellized Salt Refinery Plant '!$C$53),0),$B33)</f>
        <v>21</v>
      </c>
      <c r="AC33">
        <f>IF(ROUNDDOWN(1*(AC63/'Levellized Salt Refinery Plant '!$C$53),0) &lt; $B33, ROUNDDOWN(1*(AC63/'Levellized Salt Refinery Plant '!$C$53),0),$B33)</f>
        <v>21</v>
      </c>
      <c r="AD33">
        <f>IF(ROUNDDOWN(1*(AD63/'Levellized Salt Refinery Plant '!$C$53),0) &lt; $B33, ROUNDDOWN(1*(AD63/'Levellized Salt Refinery Plant '!$C$53),0),$B33)</f>
        <v>21</v>
      </c>
      <c r="AE33">
        <f>IF(ROUNDDOWN(1*(AE63/'Levellized Salt Refinery Plant '!$C$53),0) &lt; $B33, ROUNDDOWN(1*(AE63/'Levellized Salt Refinery Plant '!$C$53),0),$B33)</f>
        <v>21</v>
      </c>
      <c r="AF33">
        <f>IF(ROUNDDOWN(1*(AF63/'Levellized Salt Refinery Plant '!$C$53),0) &lt; $B33, ROUNDDOWN(1*(AF63/'Levellized Salt Refinery Plant '!$C$53),0),$B33)</f>
        <v>21</v>
      </c>
      <c r="AG33">
        <f>IF(ROUNDDOWN(1*(AG63/'Levellized Salt Refinery Plant '!$C$53),0) &lt; $B33, ROUNDDOWN(1*(AG63/'Levellized Salt Refinery Plant '!$C$53),0),$B33)</f>
        <v>21</v>
      </c>
      <c r="AH33">
        <f>IF(ROUNDDOWN(1*(AH63/'Levellized Salt Refinery Plant '!$C$53),0) &lt; $B33, ROUNDDOWN(1*(AH63/'Levellized Salt Refinery Plant '!$C$53),0),$B33)</f>
        <v>21</v>
      </c>
      <c r="AI33">
        <f>IF(ROUNDDOWN(1*(AI63/'Levellized Salt Refinery Plant '!$C$53),0) &lt; $B33, ROUNDDOWN(1*(AI63/'Levellized Salt Refinery Plant '!$C$53),0),$B33)</f>
        <v>21</v>
      </c>
      <c r="AJ33">
        <f>IF(ROUNDDOWN(1*(AJ63/'Levellized Salt Refinery Plant '!$C$53),0) &lt; $B33, ROUNDDOWN(1*(AJ63/'Levellized Salt Refinery Plant '!$C$53),0),$B33)</f>
        <v>21</v>
      </c>
      <c r="AK33">
        <f>IF(ROUNDDOWN(1*(AK63/'Levellized Salt Refinery Plant '!$C$53),0) &lt; $B33, ROUNDDOWN(1*(AK63/'Levellized Salt Refinery Plant '!$C$53),0),$B33)</f>
        <v>21</v>
      </c>
      <c r="AL33">
        <f>IF(ROUNDDOWN(1*(AL63/'Levellized Salt Refinery Plant '!$C$53),0) &lt; $B33, ROUNDDOWN(1*(AL63/'Levellized Salt Refinery Plant '!$C$53),0),$B33)</f>
        <v>21</v>
      </c>
      <c r="AM33">
        <f>IF(ROUNDDOWN(1*(AM63/'Levellized Salt Refinery Plant '!$C$53),0) &lt; $B33, ROUNDDOWN(1*(AM63/'Levellized Salt Refinery Plant '!$C$53),0),$B33)</f>
        <v>21</v>
      </c>
      <c r="AN33">
        <f>IF(ROUNDDOWN(1*(AN63/'Levellized Salt Refinery Plant '!$C$53),0) &lt; $B33, ROUNDDOWN(1*(AN63/'Levellized Salt Refinery Plant '!$C$53),0),$B33)</f>
        <v>18</v>
      </c>
      <c r="AO33">
        <f>IF(ROUNDDOWN(1*(AO63/'Levellized Salt Refinery Plant '!$C$53),0) &lt; $B33, ROUNDDOWN(1*(AO63/'Levellized Salt Refinery Plant '!$C$53),0),$B33)</f>
        <v>14</v>
      </c>
      <c r="AP33">
        <f>IF(ROUNDDOWN(1*(AP63/'Levellized Salt Refinery Plant '!$C$53),0) &lt; $B33, ROUNDDOWN(1*(AP63/'Levellized Salt Refinery Plant '!$C$53),0),$B33)</f>
        <v>14</v>
      </c>
      <c r="AQ33">
        <f>IF(ROUNDDOWN(1*(AQ63/'Levellized Salt Refinery Plant '!$C$53),0) &lt; $B33, ROUNDDOWN(1*(AQ63/'Levellized Salt Refinery Plant '!$C$53),0),$B33)</f>
        <v>14</v>
      </c>
      <c r="AR33">
        <f>IF(ROUNDDOWN(1*(AR63/'Levellized Salt Refinery Plant '!$C$53),0) &lt; $B33, ROUNDDOWN(1*(AR63/'Levellized Salt Refinery Plant '!$C$53),0),$B33)</f>
        <v>14</v>
      </c>
      <c r="AS33">
        <f>IF(ROUNDDOWN(1*(AS63/'Levellized Salt Refinery Plant '!$C$53),0) &lt; $B33, ROUNDDOWN(1*(AS63/'Levellized Salt Refinery Plant '!$C$53),0),$B33)</f>
        <v>14</v>
      </c>
      <c r="AT33">
        <f>IF(ROUNDDOWN(1*(AT63/'Levellized Salt Refinery Plant '!$C$53),0) &lt; $B33, ROUNDDOWN(1*(AT63/'Levellized Salt Refinery Plant '!$C$53),0),$B33)</f>
        <v>14</v>
      </c>
      <c r="AU33">
        <f>IF(ROUNDDOWN(1*(AU63/'Levellized Salt Refinery Plant '!$C$53),0) &lt; $B33, ROUNDDOWN(1*(AU63/'Levellized Salt Refinery Plant '!$C$53),0),$B33)</f>
        <v>14</v>
      </c>
      <c r="AV33">
        <f>IF(ROUNDDOWN(1*(AV63/'Levellized Salt Refinery Plant '!$C$53),0) &lt; $B33, ROUNDDOWN(1*(AV63/'Levellized Salt Refinery Plant '!$C$53),0),$B33)</f>
        <v>14</v>
      </c>
      <c r="AW33">
        <f>IF(ROUNDDOWN(1*(AW63/'Levellized Salt Refinery Plant '!$C$53),0) &lt; $B33, ROUNDDOWN(1*(AW63/'Levellized Salt Refinery Plant '!$C$53),0),$B33)</f>
        <v>14</v>
      </c>
      <c r="AX33">
        <f>IF(ROUNDDOWN(1*(AX63/'Levellized Salt Refinery Plant '!$C$53),0) &lt; $B33, ROUNDDOWN(1*(AX63/'Levellized Salt Refinery Plant '!$C$53),0),$B33)</f>
        <v>14</v>
      </c>
      <c r="AY33">
        <f>IF(ROUNDDOWN(1*(AY63/'Levellized Salt Refinery Plant '!$C$53),0) &lt; $B33, ROUNDDOWN(1*(AY63/'Levellized Salt Refinery Plant '!$C$53),0),$B33)</f>
        <v>14</v>
      </c>
      <c r="AZ33">
        <f>IF(ROUNDDOWN(1*(AZ63/'Levellized Salt Refinery Plant '!$C$53),0) &lt; $B33, ROUNDDOWN(1*(AZ63/'Levellized Salt Refinery Plant '!$C$53),0),$B33)</f>
        <v>14</v>
      </c>
      <c r="BA33">
        <f>IF(ROUNDDOWN(1*(BA63/'Levellized Salt Refinery Plant '!$C$53),0) &lt; $B33, ROUNDDOWN(1*(BA63/'Levellized Salt Refinery Plant '!$C$53),0),$B33)</f>
        <v>14</v>
      </c>
      <c r="BB33">
        <f>IF(ROUNDDOWN(1*(BB63/'Levellized Salt Refinery Plant '!$C$53),0) &lt; $B33, ROUNDDOWN(1*(BB63/'Levellized Salt Refinery Plant '!$C$53),0),$B33)</f>
        <v>14</v>
      </c>
      <c r="BC33">
        <f>IF(ROUNDDOWN(1*(BC63/'Levellized Salt Refinery Plant '!$C$53),0) &lt; $B33, ROUNDDOWN(1*(BC63/'Levellized Salt Refinery Plant '!$C$53),0),$B33)</f>
        <v>14</v>
      </c>
      <c r="BD33">
        <f>IF(ROUNDDOWN(1*(BD63/'Levellized Salt Refinery Plant '!$C$53),0) &lt; $B33, ROUNDDOWN(1*(BD63/'Levellized Salt Refinery Plant '!$C$53),0),$B33)</f>
        <v>14</v>
      </c>
      <c r="BE33">
        <f>IF(ROUNDDOWN(1*(BE63/'Levellized Salt Refinery Plant '!$C$53),0) &lt; $B33, ROUNDDOWN(1*(BE63/'Levellized Salt Refinery Plant '!$C$53),0),$B33)</f>
        <v>14</v>
      </c>
      <c r="BF33">
        <f>IF(ROUNDDOWN(1*(BF63/'Levellized Salt Refinery Plant '!$C$53),0) &lt; $B33, ROUNDDOWN(1*(BF63/'Levellized Salt Refinery Plant '!$C$53),0),$B33)</f>
        <v>14</v>
      </c>
      <c r="BG33">
        <f>IF(ROUNDDOWN(1*(BG63/'Levellized Salt Refinery Plant '!$C$53),0) &lt; $B33, ROUNDDOWN(1*(BG63/'Levellized Salt Refinery Plant '!$C$53),0),$B33)</f>
        <v>14</v>
      </c>
      <c r="BH33">
        <f>IF(ROUNDDOWN(1*(BH63/'Levellized Salt Refinery Plant '!$C$53),0) &lt; $B33, ROUNDDOWN(1*(BH63/'Levellized Salt Refinery Plant '!$C$53),0),$B33)</f>
        <v>14</v>
      </c>
      <c r="BI33">
        <f xml:space="preserve"> BH33</f>
        <v>14</v>
      </c>
    </row>
    <row r="34" spans="1:61" x14ac:dyDescent="0.2">
      <c r="A34" t="s">
        <v>16</v>
      </c>
      <c r="B34" s="31"/>
      <c r="C34" s="5">
        <f>C33*'Levellized Salt Refinery Plant '!$C$53</f>
        <v>0</v>
      </c>
      <c r="D34" s="5">
        <f>D33*'Levellized Salt Refinery Plant '!$C$53</f>
        <v>0</v>
      </c>
      <c r="E34" s="5">
        <f>E33*'Levellized Salt Refinery Plant '!$C$53</f>
        <v>173375</v>
      </c>
      <c r="F34" s="5">
        <f>F33*'Levellized Salt Refinery Plant '!$C$53</f>
        <v>173375</v>
      </c>
      <c r="G34" s="5">
        <f>G33*'Levellized Salt Refinery Plant '!$C$53</f>
        <v>1300312.5</v>
      </c>
      <c r="H34" s="5">
        <f>H33*'Levellized Salt Refinery Plant '!$C$53</f>
        <v>1820437.5</v>
      </c>
      <c r="I34" s="5">
        <f>I33*'Levellized Salt Refinery Plant '!$C$53</f>
        <v>1820437.5</v>
      </c>
      <c r="J34" s="5">
        <f>J33*'Levellized Salt Refinery Plant '!$C$53</f>
        <v>1820437.5</v>
      </c>
      <c r="K34" s="5">
        <f>K33*'Levellized Salt Refinery Plant '!$C$53</f>
        <v>1820437.5</v>
      </c>
      <c r="L34" s="5">
        <f>L33*'Levellized Salt Refinery Plant '!$C$53</f>
        <v>1820437.5</v>
      </c>
      <c r="M34" s="5">
        <f>M33*'Levellized Salt Refinery Plant '!$C$53</f>
        <v>1820437.5</v>
      </c>
      <c r="N34" s="5">
        <f>N33*'Levellized Salt Refinery Plant '!$C$53</f>
        <v>1820437.5</v>
      </c>
      <c r="O34" s="5">
        <f>O33*'Levellized Salt Refinery Plant '!$C$53</f>
        <v>1820437.5</v>
      </c>
      <c r="P34" s="5">
        <f>P33*'Levellized Salt Refinery Plant '!$C$53</f>
        <v>1820437.5</v>
      </c>
      <c r="Q34" s="5">
        <f>Q33*'Levellized Salt Refinery Plant '!$C$53</f>
        <v>1820437.5</v>
      </c>
      <c r="R34" s="5">
        <f>R33*'Levellized Salt Refinery Plant '!$C$53</f>
        <v>1820437.5</v>
      </c>
      <c r="S34" s="5">
        <f>S33*'Levellized Salt Refinery Plant '!$C$53</f>
        <v>1820437.5</v>
      </c>
      <c r="T34" s="5">
        <f>T33*'Levellized Salt Refinery Plant '!$C$53</f>
        <v>1820437.5</v>
      </c>
      <c r="U34" s="5">
        <f>U33*'Levellized Salt Refinery Plant '!$C$53</f>
        <v>1820437.5</v>
      </c>
      <c r="V34" s="5">
        <f>V33*'Levellized Salt Refinery Plant '!$C$53</f>
        <v>1820437.5</v>
      </c>
      <c r="W34" s="5">
        <f>W33*'Levellized Salt Refinery Plant '!$C$53</f>
        <v>1820437.5</v>
      </c>
      <c r="X34" s="5">
        <f>X33*'Levellized Salt Refinery Plant '!$C$53</f>
        <v>1820437.5</v>
      </c>
      <c r="Y34" s="5">
        <f>Y33*'Levellized Salt Refinery Plant '!$C$53</f>
        <v>1820437.5</v>
      </c>
      <c r="Z34" s="5">
        <f>Z33*'Levellized Salt Refinery Plant '!$C$53</f>
        <v>1820437.5</v>
      </c>
      <c r="AA34" s="5">
        <f>AA33*'Levellized Salt Refinery Plant '!$C$53</f>
        <v>1820437.5</v>
      </c>
      <c r="AB34" s="5">
        <f>AB33*'Levellized Salt Refinery Plant '!$C$53</f>
        <v>1820437.5</v>
      </c>
      <c r="AC34" s="5">
        <f>AC33*'Levellized Salt Refinery Plant '!$C$53</f>
        <v>1820437.5</v>
      </c>
      <c r="AD34" s="5">
        <f>AD33*'Levellized Salt Refinery Plant '!$C$53</f>
        <v>1820437.5</v>
      </c>
      <c r="AE34" s="5">
        <f>AE33*'Levellized Salt Refinery Plant '!$C$53</f>
        <v>1820437.5</v>
      </c>
      <c r="AF34" s="5">
        <f>AF33*'Levellized Salt Refinery Plant '!$C$53</f>
        <v>1820437.5</v>
      </c>
      <c r="AG34" s="5">
        <f>AG33*'Levellized Salt Refinery Plant '!$C$53</f>
        <v>1820437.5</v>
      </c>
      <c r="AH34" s="5">
        <f>AH33*'Levellized Salt Refinery Plant '!$C$53</f>
        <v>1820437.5</v>
      </c>
      <c r="AI34" s="5">
        <f>AI33*'Levellized Salt Refinery Plant '!$C$53</f>
        <v>1820437.5</v>
      </c>
      <c r="AJ34" s="5">
        <f>AJ33*'Levellized Salt Refinery Plant '!$C$53</f>
        <v>1820437.5</v>
      </c>
      <c r="AK34" s="5">
        <f>AK33*'Levellized Salt Refinery Plant '!$C$53</f>
        <v>1820437.5</v>
      </c>
      <c r="AL34" s="5">
        <f>AL33*'Levellized Salt Refinery Plant '!$C$53</f>
        <v>1820437.5</v>
      </c>
      <c r="AM34" s="5">
        <f>AM33*'Levellized Salt Refinery Plant '!$C$53</f>
        <v>1820437.5</v>
      </c>
      <c r="AN34" s="5">
        <f>AN33*'Levellized Salt Refinery Plant '!$C$53</f>
        <v>1560375</v>
      </c>
      <c r="AO34" s="5">
        <f>AO33*'Levellized Salt Refinery Plant '!$C$53</f>
        <v>1213625</v>
      </c>
      <c r="AP34" s="5">
        <f>AP33*'Levellized Salt Refinery Plant '!$C$53</f>
        <v>1213625</v>
      </c>
      <c r="AQ34" s="5">
        <f>AQ33*'Levellized Salt Refinery Plant '!$C$53</f>
        <v>1213625</v>
      </c>
      <c r="AR34" s="5">
        <f>AR33*'Levellized Salt Refinery Plant '!$C$53</f>
        <v>1213625</v>
      </c>
      <c r="AS34" s="5">
        <f>AS33*'Levellized Salt Refinery Plant '!$C$53</f>
        <v>1213625</v>
      </c>
      <c r="AT34" s="5">
        <f>AT33*'Levellized Salt Refinery Plant '!$C$53</f>
        <v>1213625</v>
      </c>
      <c r="AU34" s="5">
        <f>AU33*'Levellized Salt Refinery Plant '!$C$53</f>
        <v>1213625</v>
      </c>
      <c r="AV34" s="5">
        <f>AV33*'Levellized Salt Refinery Plant '!$C$53</f>
        <v>1213625</v>
      </c>
      <c r="AW34" s="5">
        <f>AW33*'Levellized Salt Refinery Plant '!$C$53</f>
        <v>1213625</v>
      </c>
      <c r="AX34" s="5">
        <f>AX33*'Levellized Salt Refinery Plant '!$C$53</f>
        <v>1213625</v>
      </c>
      <c r="AY34" s="5">
        <f>AY33*'Levellized Salt Refinery Plant '!$C$53</f>
        <v>1213625</v>
      </c>
      <c r="AZ34" s="5">
        <f>AZ33*'Levellized Salt Refinery Plant '!$C$53</f>
        <v>1213625</v>
      </c>
      <c r="BA34" s="5">
        <f>BA33*'Levellized Salt Refinery Plant '!$C$53</f>
        <v>1213625</v>
      </c>
      <c r="BB34" s="5">
        <f>BB33*'Levellized Salt Refinery Plant '!$C$53</f>
        <v>1213625</v>
      </c>
      <c r="BC34" s="5">
        <f>BC33*'Levellized Salt Refinery Plant '!$C$53</f>
        <v>1213625</v>
      </c>
      <c r="BD34" s="5">
        <f>BD33*'Levellized Salt Refinery Plant '!$C$53</f>
        <v>1213625</v>
      </c>
      <c r="BE34" s="5">
        <f>BE33*'Levellized Salt Refinery Plant '!$C$53</f>
        <v>1213625</v>
      </c>
      <c r="BF34" s="5">
        <f>BF33*'Levellized Salt Refinery Plant '!$C$53</f>
        <v>1213625</v>
      </c>
      <c r="BG34" s="5">
        <f>BG33*'Levellized Salt Refinery Plant '!$C$53</f>
        <v>1213625</v>
      </c>
      <c r="BH34" s="5">
        <f>BH33*'Levellized Salt Refinery Plant '!$C$53</f>
        <v>1213625</v>
      </c>
      <c r="BI34" s="5"/>
    </row>
    <row r="35" spans="1:61" s="74" customFormat="1" x14ac:dyDescent="0.2">
      <c r="A35" s="74" t="s">
        <v>17</v>
      </c>
      <c r="B35" s="121"/>
      <c r="C35" s="75">
        <f>IF(C32&gt;0,C32*'Levellized Salt Refinery Plant '!$C$2,0)</f>
        <v>0</v>
      </c>
      <c r="D35" s="75">
        <f>IF(D32&gt;0,D32*'Levellized Salt Refinery Plant '!$C$2,0)</f>
        <v>4371820</v>
      </c>
      <c r="E35" s="75">
        <f>IF(E32&gt;0,E32*'Levellized Salt Refinery Plant '!$C$2,0)</f>
        <v>0</v>
      </c>
      <c r="F35" s="75">
        <f>IF(F32&gt;0,F32*'Levellized Salt Refinery Plant '!$C$2,0)</f>
        <v>28416830</v>
      </c>
      <c r="G35" s="75">
        <f>IF(G32&gt;0,G32*'Levellized Salt Refinery Plant '!$C$2,0)</f>
        <v>13115460</v>
      </c>
      <c r="H35" s="75">
        <f>IF(H32&gt;0,H32*'Levellized Salt Refinery Plant '!$C$2,0)</f>
        <v>0</v>
      </c>
      <c r="I35" s="75">
        <f>IF(I32&gt;0,I32*'Levellized Salt Refinery Plant '!$C$2,0)</f>
        <v>0</v>
      </c>
      <c r="J35" s="75">
        <f>IF(J32&gt;0,J32*'Levellized Salt Refinery Plant '!$C$2,0)</f>
        <v>0</v>
      </c>
      <c r="K35" s="75">
        <f>IF(K32&gt;0,K32*'Levellized Salt Refinery Plant '!$C$2,0)</f>
        <v>0</v>
      </c>
      <c r="L35" s="75">
        <f>IF(L32&gt;0,L32*'Levellized Salt Refinery Plant '!$C$2,0)</f>
        <v>0</v>
      </c>
      <c r="M35" s="75">
        <f>IF(M32&gt;0,M32*'Levellized Salt Refinery Plant '!$C$2,0)</f>
        <v>0</v>
      </c>
      <c r="N35" s="75">
        <f>IF(N32&gt;0,N32*'Levellized Salt Refinery Plant '!$C$2,0)</f>
        <v>0</v>
      </c>
      <c r="O35" s="75">
        <f>IF(O32&gt;0,O32*'Levellized Salt Refinery Plant '!$C$2,0)</f>
        <v>0</v>
      </c>
      <c r="P35" s="75">
        <f>IF(P32&gt;0,P32*'Levellized Salt Refinery Plant '!$C$2,0)</f>
        <v>0</v>
      </c>
      <c r="Q35" s="75">
        <f>IF(Q32&gt;0,Q32*'Levellized Salt Refinery Plant '!$C$2,0)</f>
        <v>0</v>
      </c>
      <c r="R35" s="75">
        <f>IF(R32&gt;0,R32*'Levellized Salt Refinery Plant '!$C$2,0)</f>
        <v>0</v>
      </c>
      <c r="S35" s="75">
        <f>IF(S32&gt;0,S32*'Levellized Salt Refinery Plant '!$C$2,0)</f>
        <v>0</v>
      </c>
      <c r="T35" s="75">
        <f>IF(T32&gt;0,T32*'Levellized Salt Refinery Plant '!$C$2,0)</f>
        <v>0</v>
      </c>
      <c r="U35" s="75">
        <f>IF(U32&gt;0,U32*'Levellized Salt Refinery Plant '!$C$2,0)</f>
        <v>0</v>
      </c>
      <c r="V35" s="75">
        <f>IF(V32&gt;0,V32*'Levellized Salt Refinery Plant '!$C$2,0)</f>
        <v>0</v>
      </c>
      <c r="W35" s="75">
        <f>IF(W32&gt;0,W32*'Levellized Salt Refinery Plant '!$C$2,0)</f>
        <v>0</v>
      </c>
      <c r="X35" s="75">
        <f>IF(X32&gt;0,X32*'Levellized Salt Refinery Plant '!$C$2,0)</f>
        <v>0</v>
      </c>
      <c r="Y35" s="75">
        <f>IF(Y32&gt;0,Y32*'Levellized Salt Refinery Plant '!$C$2,0)</f>
        <v>0</v>
      </c>
      <c r="Z35" s="75">
        <f>IF(Z32&gt;0,Z32*'Levellized Salt Refinery Plant '!$C$2,0)</f>
        <v>0</v>
      </c>
      <c r="AA35" s="75">
        <f>IF(AA32&gt;0,AA32*'Levellized Salt Refinery Plant '!$C$2,0)</f>
        <v>0</v>
      </c>
      <c r="AB35" s="75">
        <f>IF(AB32&gt;0,AB32*'Levellized Salt Refinery Plant '!$C$2,0)</f>
        <v>0</v>
      </c>
      <c r="AC35" s="75">
        <f>IF(AC32&gt;0,AC32*'Levellized Salt Refinery Plant '!$C$2,0)</f>
        <v>0</v>
      </c>
      <c r="AD35" s="75">
        <f>IF(AD32&gt;0,AD32*'Levellized Salt Refinery Plant '!$C$2,0)</f>
        <v>0</v>
      </c>
      <c r="AE35" s="75">
        <f>IF(AE32&gt;0,AE32*'Levellized Salt Refinery Plant '!$C$2,0)</f>
        <v>0</v>
      </c>
      <c r="AF35" s="75">
        <f>IF(AF32&gt;0,AF32*'Levellized Salt Refinery Plant '!$C$2,0)</f>
        <v>0</v>
      </c>
      <c r="AG35" s="75">
        <f>IF(AG32&gt;0,AG32*'Levellized Salt Refinery Plant '!$C$2,0)</f>
        <v>0</v>
      </c>
      <c r="AH35" s="75">
        <f>IF(AH32&gt;0,AH32*'Levellized Salt Refinery Plant '!$C$2,0)</f>
        <v>0</v>
      </c>
      <c r="AI35" s="75">
        <f>IF(AI32&gt;0,AI32*'Levellized Salt Refinery Plant '!$C$2,0)</f>
        <v>0</v>
      </c>
      <c r="AJ35" s="75">
        <f>IF(AJ32&gt;0,AJ32*'Levellized Salt Refinery Plant '!$C$2,0)</f>
        <v>0</v>
      </c>
      <c r="AK35" s="75">
        <f>IF(AK32&gt;0,AK32*'Levellized Salt Refinery Plant '!$C$2,0)</f>
        <v>0</v>
      </c>
      <c r="AL35" s="75">
        <f>IF(AL32&gt;0,AL32*'Levellized Salt Refinery Plant '!$C$2,0)</f>
        <v>0</v>
      </c>
      <c r="AM35" s="75">
        <f>IF(AM32&gt;0,AM32*'Levellized Salt Refinery Plant '!$C$2,0)</f>
        <v>6557730</v>
      </c>
      <c r="AN35" s="75">
        <f>IF(AN32&gt;0,AN32*'Levellized Salt Refinery Plant '!$C$2,0)</f>
        <v>8743640</v>
      </c>
      <c r="AO35" s="75">
        <f>IF(AO32&gt;0,AO32*'Levellized Salt Refinery Plant '!$C$2,0)</f>
        <v>0</v>
      </c>
      <c r="AP35" s="75">
        <f>IF(AP32&gt;0,AP32*'Levellized Salt Refinery Plant '!$C$2,0)</f>
        <v>0</v>
      </c>
      <c r="AQ35" s="75">
        <f>IF(AQ32&gt;0,AQ32*'Levellized Salt Refinery Plant '!$C$2,0)</f>
        <v>0</v>
      </c>
      <c r="AR35" s="75">
        <f>IF(AR32&gt;0,AR32*'Levellized Salt Refinery Plant '!$C$2,0)</f>
        <v>0</v>
      </c>
      <c r="AS35" s="75">
        <f>IF(AS32&gt;0,AS32*'Levellized Salt Refinery Plant '!$C$2,0)</f>
        <v>0</v>
      </c>
      <c r="AT35" s="75">
        <f>IF(AT32&gt;0,AT32*'Levellized Salt Refinery Plant '!$C$2,0)</f>
        <v>0</v>
      </c>
      <c r="AU35" s="75">
        <f>IF(AU32&gt;0,AU32*'Levellized Salt Refinery Plant '!$C$2,0)</f>
        <v>0</v>
      </c>
      <c r="AV35" s="75">
        <f>IF(AV32&gt;0,AV32*'Levellized Salt Refinery Plant '!$C$2,0)</f>
        <v>0</v>
      </c>
      <c r="AW35" s="75">
        <f>IF(AW32&gt;0,AW32*'Levellized Salt Refinery Plant '!$C$2,0)</f>
        <v>0</v>
      </c>
      <c r="AX35" s="75">
        <f>IF(AX32&gt;0,AX32*'Levellized Salt Refinery Plant '!$C$2,0)</f>
        <v>0</v>
      </c>
      <c r="AY35" s="75">
        <f>IF(AY32&gt;0,AY32*'Levellized Salt Refinery Plant '!$C$2,0)</f>
        <v>0</v>
      </c>
      <c r="AZ35" s="75">
        <f>IF(AZ32&gt;0,AZ32*'Levellized Salt Refinery Plant '!$C$2,0)</f>
        <v>0</v>
      </c>
      <c r="BA35" s="75">
        <f>IF(BA32&gt;0,BA32*'Levellized Salt Refinery Plant '!$C$2,0)</f>
        <v>0</v>
      </c>
      <c r="BB35" s="75">
        <f>IF(BB32&gt;0,BB32*'Levellized Salt Refinery Plant '!$C$2,0)</f>
        <v>0</v>
      </c>
      <c r="BC35" s="75">
        <f>IF(BC32&gt;0,BC32*'Levellized Salt Refinery Plant '!$C$2,0)</f>
        <v>0</v>
      </c>
      <c r="BD35" s="75">
        <f>IF(BD32&gt;0,BD32*'Levellized Salt Refinery Plant '!$C$2,0)</f>
        <v>0</v>
      </c>
      <c r="BE35" s="75">
        <f>IF(BE32&gt;0,BE32*'Levellized Salt Refinery Plant '!$C$2,0)</f>
        <v>0</v>
      </c>
      <c r="BF35" s="75">
        <f>IF(BF32&gt;0,BF32*'Levellized Salt Refinery Plant '!$C$2,0)</f>
        <v>0</v>
      </c>
      <c r="BG35" s="75">
        <f>IF(BG32&gt;0,BG32*'Levellized Salt Refinery Plant '!$C$2,0)</f>
        <v>0</v>
      </c>
      <c r="BH35" s="75">
        <f>IF(BH32&gt;0,BH32*'Levellized Salt Refinery Plant '!$C$2,0)</f>
        <v>0</v>
      </c>
      <c r="BI35" s="75"/>
    </row>
    <row r="36" spans="1:61" s="74" customFormat="1" x14ac:dyDescent="0.2">
      <c r="A36" s="74" t="s">
        <v>18</v>
      </c>
      <c r="B36" s="121"/>
      <c r="C36" s="75">
        <f>C33*'Levellized Salt Refinery Plant '!$C$35</f>
        <v>0</v>
      </c>
      <c r="D36" s="75">
        <f>D33*'Levellized Salt Refinery Plant '!$C$35</f>
        <v>0</v>
      </c>
      <c r="E36" s="75">
        <f>E33*'Levellized Salt Refinery Plant '!$C$35</f>
        <v>7209226.1171515007</v>
      </c>
      <c r="F36" s="75">
        <f>F33*'Levellized Salt Refinery Plant '!$C$35</f>
        <v>7209226.1171515007</v>
      </c>
      <c r="G36" s="75">
        <f>G33*'Levellized Salt Refinery Plant '!$C$35</f>
        <v>54069195.878636256</v>
      </c>
      <c r="H36" s="75">
        <f>H33*'Levellized Salt Refinery Plant '!$C$35</f>
        <v>75696874.230090752</v>
      </c>
      <c r="I36" s="75">
        <f>I33*'Levellized Salt Refinery Plant '!$C$35</f>
        <v>75696874.230090752</v>
      </c>
      <c r="J36" s="75">
        <f>J33*'Levellized Salt Refinery Plant '!$C$35</f>
        <v>75696874.230090752</v>
      </c>
      <c r="K36" s="75">
        <f>K33*'Levellized Salt Refinery Plant '!$C$35</f>
        <v>75696874.230090752</v>
      </c>
      <c r="L36" s="75">
        <f>L33*'Levellized Salt Refinery Plant '!$C$35</f>
        <v>75696874.230090752</v>
      </c>
      <c r="M36" s="75">
        <f>M33*'Levellized Salt Refinery Plant '!$C$35</f>
        <v>75696874.230090752</v>
      </c>
      <c r="N36" s="75">
        <f>N33*'Levellized Salt Refinery Plant '!$C$35</f>
        <v>75696874.230090752</v>
      </c>
      <c r="O36" s="75">
        <f>O33*'Levellized Salt Refinery Plant '!$C$35</f>
        <v>75696874.230090752</v>
      </c>
      <c r="P36" s="75">
        <f>P33*'Levellized Salt Refinery Plant '!$C$35</f>
        <v>75696874.230090752</v>
      </c>
      <c r="Q36" s="75">
        <f>Q33*'Levellized Salt Refinery Plant '!$C$35</f>
        <v>75696874.230090752</v>
      </c>
      <c r="R36" s="75">
        <f>R33*'Levellized Salt Refinery Plant '!$C$35</f>
        <v>75696874.230090752</v>
      </c>
      <c r="S36" s="75">
        <f>S33*'Levellized Salt Refinery Plant '!$C$35</f>
        <v>75696874.230090752</v>
      </c>
      <c r="T36" s="75">
        <f>T33*'Levellized Salt Refinery Plant '!$C$35</f>
        <v>75696874.230090752</v>
      </c>
      <c r="U36" s="75">
        <f>U33*'Levellized Salt Refinery Plant '!$C$35</f>
        <v>75696874.230090752</v>
      </c>
      <c r="V36" s="75">
        <f>V33*'Levellized Salt Refinery Plant '!$C$35</f>
        <v>75696874.230090752</v>
      </c>
      <c r="W36" s="75">
        <f>W33*'Levellized Salt Refinery Plant '!$C$35</f>
        <v>75696874.230090752</v>
      </c>
      <c r="X36" s="75">
        <f>X33*'Levellized Salt Refinery Plant '!$C$35</f>
        <v>75696874.230090752</v>
      </c>
      <c r="Y36" s="75">
        <f>Y33*'Levellized Salt Refinery Plant '!$C$35</f>
        <v>75696874.230090752</v>
      </c>
      <c r="Z36" s="75">
        <f>Z33*'Levellized Salt Refinery Plant '!$C$35</f>
        <v>75696874.230090752</v>
      </c>
      <c r="AA36" s="75">
        <f>AA33*'Levellized Salt Refinery Plant '!$C$35</f>
        <v>75696874.230090752</v>
      </c>
      <c r="AB36" s="75">
        <f>AB33*'Levellized Salt Refinery Plant '!$C$35</f>
        <v>75696874.230090752</v>
      </c>
      <c r="AC36" s="75">
        <f>AC33*'Levellized Salt Refinery Plant '!$C$35</f>
        <v>75696874.230090752</v>
      </c>
      <c r="AD36" s="75">
        <f>AD33*'Levellized Salt Refinery Plant '!$C$35</f>
        <v>75696874.230090752</v>
      </c>
      <c r="AE36" s="75">
        <f>AE33*'Levellized Salt Refinery Plant '!$C$35</f>
        <v>75696874.230090752</v>
      </c>
      <c r="AF36" s="75">
        <f>AF33*'Levellized Salt Refinery Plant '!$C$35</f>
        <v>75696874.230090752</v>
      </c>
      <c r="AG36" s="75">
        <f>AG33*'Levellized Salt Refinery Plant '!$C$35</f>
        <v>75696874.230090752</v>
      </c>
      <c r="AH36" s="75">
        <f>AH33*'Levellized Salt Refinery Plant '!$C$35</f>
        <v>75696874.230090752</v>
      </c>
      <c r="AI36" s="75">
        <f>AI33*'Levellized Salt Refinery Plant '!$C$35</f>
        <v>75696874.230090752</v>
      </c>
      <c r="AJ36" s="75">
        <f>AJ33*'Levellized Salt Refinery Plant '!$C$35</f>
        <v>75696874.230090752</v>
      </c>
      <c r="AK36" s="75">
        <f>AK33*'Levellized Salt Refinery Plant '!$C$35</f>
        <v>75696874.230090752</v>
      </c>
      <c r="AL36" s="75">
        <f>AL33*'Levellized Salt Refinery Plant '!$C$35</f>
        <v>75696874.230090752</v>
      </c>
      <c r="AM36" s="75">
        <f>AM33*'Levellized Salt Refinery Plant '!$C$35</f>
        <v>75696874.230090752</v>
      </c>
      <c r="AN36" s="75">
        <f>AN33*'Levellized Salt Refinery Plant '!$C$35</f>
        <v>64883035.054363504</v>
      </c>
      <c r="AO36" s="75">
        <f>AO33*'Levellized Salt Refinery Plant '!$C$35</f>
        <v>50464582.820060506</v>
      </c>
      <c r="AP36" s="75">
        <f>AP33*'Levellized Salt Refinery Plant '!$C$35</f>
        <v>50464582.820060506</v>
      </c>
      <c r="AQ36" s="75">
        <f>AQ33*'Levellized Salt Refinery Plant '!$C$35</f>
        <v>50464582.820060506</v>
      </c>
      <c r="AR36" s="75">
        <f>AR33*'Levellized Salt Refinery Plant '!$C$35</f>
        <v>50464582.820060506</v>
      </c>
      <c r="AS36" s="75">
        <f>AS33*'Levellized Salt Refinery Plant '!$C$35</f>
        <v>50464582.820060506</v>
      </c>
      <c r="AT36" s="75">
        <f>AT33*'Levellized Salt Refinery Plant '!$C$35</f>
        <v>50464582.820060506</v>
      </c>
      <c r="AU36" s="75">
        <f>AU33*'Levellized Salt Refinery Plant '!$C$35</f>
        <v>50464582.820060506</v>
      </c>
      <c r="AV36" s="75">
        <f>AV33*'Levellized Salt Refinery Plant '!$C$35</f>
        <v>50464582.820060506</v>
      </c>
      <c r="AW36" s="75">
        <f>AW33*'Levellized Salt Refinery Plant '!$C$35</f>
        <v>50464582.820060506</v>
      </c>
      <c r="AX36" s="75">
        <f>AX33*'Levellized Salt Refinery Plant '!$C$35</f>
        <v>50464582.820060506</v>
      </c>
      <c r="AY36" s="75">
        <f>AY33*'Levellized Salt Refinery Plant '!$C$35</f>
        <v>50464582.820060506</v>
      </c>
      <c r="AZ36" s="75">
        <f>AZ33*'Levellized Salt Refinery Plant '!$C$35</f>
        <v>50464582.820060506</v>
      </c>
      <c r="BA36" s="75">
        <f>BA33*'Levellized Salt Refinery Plant '!$C$35</f>
        <v>50464582.820060506</v>
      </c>
      <c r="BB36" s="75">
        <f>BB33*'Levellized Salt Refinery Plant '!$C$35</f>
        <v>50464582.820060506</v>
      </c>
      <c r="BC36" s="75">
        <f>BC33*'Levellized Salt Refinery Plant '!$C$35</f>
        <v>50464582.820060506</v>
      </c>
      <c r="BD36" s="75">
        <f>BD33*'Levellized Salt Refinery Plant '!$C$35</f>
        <v>50464582.820060506</v>
      </c>
      <c r="BE36" s="75">
        <f>BE33*'Levellized Salt Refinery Plant '!$C$35</f>
        <v>50464582.820060506</v>
      </c>
      <c r="BF36" s="75">
        <f>BF33*'Levellized Salt Refinery Plant '!$C$35</f>
        <v>50464582.820060506</v>
      </c>
      <c r="BG36" s="75">
        <f>BG33*'Levellized Salt Refinery Plant '!$C$35</f>
        <v>50464582.820060506</v>
      </c>
      <c r="BH36" s="75">
        <f>BH33*'Levellized Salt Refinery Plant '!$C$35</f>
        <v>50464582.820060506</v>
      </c>
      <c r="BI36" s="75"/>
    </row>
    <row r="37" spans="1:61" s="74" customFormat="1" x14ac:dyDescent="0.2">
      <c r="A37" s="74" t="s">
        <v>504</v>
      </c>
      <c r="B37" s="121"/>
      <c r="C37" s="75">
        <f>C33*'Levellized Salt Refinery Plant '!$C$47</f>
        <v>0</v>
      </c>
      <c r="D37" s="75">
        <f>D33*'Levellized Salt Refinery Plant '!$C$47</f>
        <v>0</v>
      </c>
      <c r="E37" s="75">
        <f>E33*'Levellized Salt Refinery Plant '!$C$47</f>
        <v>1450857.7171515001</v>
      </c>
      <c r="F37" s="75">
        <f>F33*'Levellized Salt Refinery Plant '!$C$47</f>
        <v>1450857.7171515001</v>
      </c>
      <c r="G37" s="75">
        <f>G33*'Levellized Salt Refinery Plant '!$C$47</f>
        <v>10881432.87863625</v>
      </c>
      <c r="H37" s="75">
        <f>H33*'Levellized Salt Refinery Plant '!$C$47</f>
        <v>15234006.030090751</v>
      </c>
      <c r="I37" s="75">
        <f>I33*'Levellized Salt Refinery Plant '!$C$47</f>
        <v>15234006.030090751</v>
      </c>
      <c r="J37" s="75">
        <f>J33*'Levellized Salt Refinery Plant '!$C$47</f>
        <v>15234006.030090751</v>
      </c>
      <c r="K37" s="75">
        <f>K33*'Levellized Salt Refinery Plant '!$C$47</f>
        <v>15234006.030090751</v>
      </c>
      <c r="L37" s="75">
        <f>L33*'Levellized Salt Refinery Plant '!$C$47</f>
        <v>15234006.030090751</v>
      </c>
      <c r="M37" s="75">
        <f>M33*'Levellized Salt Refinery Plant '!$C$47</f>
        <v>15234006.030090751</v>
      </c>
      <c r="N37" s="75">
        <f>N33*'Levellized Salt Refinery Plant '!$C$47</f>
        <v>15234006.030090751</v>
      </c>
      <c r="O37" s="75">
        <f>O33*'Levellized Salt Refinery Plant '!$C$47</f>
        <v>15234006.030090751</v>
      </c>
      <c r="P37" s="75">
        <f>P33*'Levellized Salt Refinery Plant '!$C$47</f>
        <v>15234006.030090751</v>
      </c>
      <c r="Q37" s="75">
        <f>Q33*'Levellized Salt Refinery Plant '!$C$47</f>
        <v>15234006.030090751</v>
      </c>
      <c r="R37" s="75">
        <f>R33*'Levellized Salt Refinery Plant '!$C$47</f>
        <v>15234006.030090751</v>
      </c>
      <c r="S37" s="75">
        <f>S33*'Levellized Salt Refinery Plant '!$C$47</f>
        <v>15234006.030090751</v>
      </c>
      <c r="T37" s="75">
        <f>T33*'Levellized Salt Refinery Plant '!$C$47</f>
        <v>15234006.030090751</v>
      </c>
      <c r="U37" s="75">
        <f>U33*'Levellized Salt Refinery Plant '!$C$47</f>
        <v>15234006.030090751</v>
      </c>
      <c r="V37" s="75">
        <f>V33*'Levellized Salt Refinery Plant '!$C$47</f>
        <v>15234006.030090751</v>
      </c>
      <c r="W37" s="75">
        <f>W33*'Levellized Salt Refinery Plant '!$C$47</f>
        <v>15234006.030090751</v>
      </c>
      <c r="X37" s="75">
        <f>X33*'Levellized Salt Refinery Plant '!$C$47</f>
        <v>15234006.030090751</v>
      </c>
      <c r="Y37" s="75">
        <f>Y33*'Levellized Salt Refinery Plant '!$C$47</f>
        <v>15234006.030090751</v>
      </c>
      <c r="Z37" s="75">
        <f>Z33*'Levellized Salt Refinery Plant '!$C$47</f>
        <v>15234006.030090751</v>
      </c>
      <c r="AA37" s="75">
        <f>AA33*'Levellized Salt Refinery Plant '!$C$47</f>
        <v>15234006.030090751</v>
      </c>
      <c r="AB37" s="75">
        <f>AB33*'Levellized Salt Refinery Plant '!$C$47</f>
        <v>15234006.030090751</v>
      </c>
      <c r="AC37" s="75">
        <f>AC33*'Levellized Salt Refinery Plant '!$C$47</f>
        <v>15234006.030090751</v>
      </c>
      <c r="AD37" s="75">
        <f>AD33*'Levellized Salt Refinery Plant '!$C$47</f>
        <v>15234006.030090751</v>
      </c>
      <c r="AE37" s="75">
        <f>AE33*'Levellized Salt Refinery Plant '!$C$47</f>
        <v>15234006.030090751</v>
      </c>
      <c r="AF37" s="75">
        <f>AF33*'Levellized Salt Refinery Plant '!$C$47</f>
        <v>15234006.030090751</v>
      </c>
      <c r="AG37" s="75">
        <f>AG33*'Levellized Salt Refinery Plant '!$C$47</f>
        <v>15234006.030090751</v>
      </c>
      <c r="AH37" s="75">
        <f>AH33*'Levellized Salt Refinery Plant '!$C$47</f>
        <v>15234006.030090751</v>
      </c>
      <c r="AI37" s="75">
        <f>AI33*'Levellized Salt Refinery Plant '!$C$47</f>
        <v>15234006.030090751</v>
      </c>
      <c r="AJ37" s="75">
        <f>AJ33*'Levellized Salt Refinery Plant '!$C$47</f>
        <v>15234006.030090751</v>
      </c>
      <c r="AK37" s="75">
        <f>AK33*'Levellized Salt Refinery Plant '!$C$47</f>
        <v>15234006.030090751</v>
      </c>
      <c r="AL37" s="75">
        <f>AL33*'Levellized Salt Refinery Plant '!$C$47</f>
        <v>15234006.030090751</v>
      </c>
      <c r="AM37" s="75">
        <f>AM33*'Levellized Salt Refinery Plant '!$C$47</f>
        <v>15234006.030090751</v>
      </c>
      <c r="AN37" s="75">
        <f>AN33*'Levellized Salt Refinery Plant '!$C$47</f>
        <v>13057719.454363501</v>
      </c>
      <c r="AO37" s="75">
        <f>AO33*'Levellized Salt Refinery Plant '!$C$47</f>
        <v>10156004.0200605</v>
      </c>
      <c r="AP37" s="75">
        <f>AP33*'Levellized Salt Refinery Plant '!$C$47</f>
        <v>10156004.0200605</v>
      </c>
      <c r="AQ37" s="75">
        <f>AQ33*'Levellized Salt Refinery Plant '!$C$47</f>
        <v>10156004.0200605</v>
      </c>
      <c r="AR37" s="75">
        <f>AR33*'Levellized Salt Refinery Plant '!$C$47</f>
        <v>10156004.0200605</v>
      </c>
      <c r="AS37" s="75">
        <f>AS33*'Levellized Salt Refinery Plant '!$C$47</f>
        <v>10156004.0200605</v>
      </c>
      <c r="AT37" s="75">
        <f>AT33*'Levellized Salt Refinery Plant '!$C$47</f>
        <v>10156004.0200605</v>
      </c>
      <c r="AU37" s="75">
        <f>AU33*'Levellized Salt Refinery Plant '!$C$47</f>
        <v>10156004.0200605</v>
      </c>
      <c r="AV37" s="75">
        <f>AV33*'Levellized Salt Refinery Plant '!$C$47</f>
        <v>10156004.0200605</v>
      </c>
      <c r="AW37" s="75">
        <f>AW33*'Levellized Salt Refinery Plant '!$C$47</f>
        <v>10156004.0200605</v>
      </c>
      <c r="AX37" s="75">
        <f>AX33*'Levellized Salt Refinery Plant '!$C$47</f>
        <v>10156004.0200605</v>
      </c>
      <c r="AY37" s="75">
        <f>AY33*'Levellized Salt Refinery Plant '!$C$47</f>
        <v>10156004.0200605</v>
      </c>
      <c r="AZ37" s="75">
        <f>AZ33*'Levellized Salt Refinery Plant '!$C$47</f>
        <v>10156004.0200605</v>
      </c>
      <c r="BA37" s="75">
        <f>BA33*'Levellized Salt Refinery Plant '!$C$47</f>
        <v>10156004.0200605</v>
      </c>
      <c r="BB37" s="75">
        <f>BB33*'Levellized Salt Refinery Plant '!$C$47</f>
        <v>10156004.0200605</v>
      </c>
      <c r="BC37" s="75">
        <f>BC33*'Levellized Salt Refinery Plant '!$C$47</f>
        <v>10156004.0200605</v>
      </c>
      <c r="BD37" s="75">
        <f>BD33*'Levellized Salt Refinery Plant '!$C$47</f>
        <v>10156004.0200605</v>
      </c>
      <c r="BE37" s="75">
        <f>BE33*'Levellized Salt Refinery Plant '!$C$47</f>
        <v>10156004.0200605</v>
      </c>
      <c r="BF37" s="75">
        <f>BF33*'Levellized Salt Refinery Plant '!$C$47</f>
        <v>10156004.0200605</v>
      </c>
      <c r="BG37" s="75">
        <f>BG33*'Levellized Salt Refinery Plant '!$C$47</f>
        <v>10156004.0200605</v>
      </c>
      <c r="BH37" s="75">
        <f>BH33*'Levellized Salt Refinery Plant '!$C$47</f>
        <v>10156004.0200605</v>
      </c>
      <c r="BI37" s="75"/>
    </row>
    <row r="38" spans="1:61" x14ac:dyDescent="0.2">
      <c r="A38" t="s">
        <v>601</v>
      </c>
      <c r="B38" s="86">
        <v>4.3499999999999996</v>
      </c>
      <c r="C38" s="78">
        <v>205</v>
      </c>
      <c r="D38" s="10">
        <f xml:space="preserve"> C38 + $B38</f>
        <v>209.35</v>
      </c>
      <c r="E38" s="10">
        <f t="shared" ref="E38:AO38" si="72" xml:space="preserve"> D38 + $B38</f>
        <v>213.7</v>
      </c>
      <c r="F38" s="10">
        <f t="shared" si="72"/>
        <v>218.04999999999998</v>
      </c>
      <c r="G38" s="10">
        <f t="shared" si="72"/>
        <v>222.39999999999998</v>
      </c>
      <c r="H38" s="10">
        <f t="shared" si="72"/>
        <v>226.74999999999997</v>
      </c>
      <c r="I38" s="10">
        <f t="shared" si="72"/>
        <v>231.09999999999997</v>
      </c>
      <c r="J38" s="10">
        <f t="shared" si="72"/>
        <v>235.44999999999996</v>
      </c>
      <c r="K38" s="10">
        <f t="shared" si="72"/>
        <v>239.79999999999995</v>
      </c>
      <c r="L38" s="10">
        <f t="shared" si="72"/>
        <v>244.14999999999995</v>
      </c>
      <c r="M38" s="10">
        <f t="shared" si="72"/>
        <v>248.49999999999994</v>
      </c>
      <c r="N38" s="10">
        <f t="shared" si="72"/>
        <v>252.84999999999994</v>
      </c>
      <c r="O38" s="10">
        <f t="shared" si="72"/>
        <v>257.19999999999993</v>
      </c>
      <c r="P38" s="10">
        <f t="shared" si="72"/>
        <v>261.54999999999995</v>
      </c>
      <c r="Q38" s="10">
        <f t="shared" si="72"/>
        <v>265.89999999999998</v>
      </c>
      <c r="R38" s="10">
        <f t="shared" si="72"/>
        <v>270.25</v>
      </c>
      <c r="S38" s="10">
        <f t="shared" si="72"/>
        <v>274.60000000000002</v>
      </c>
      <c r="T38" s="10">
        <f t="shared" si="72"/>
        <v>278.95000000000005</v>
      </c>
      <c r="U38" s="10">
        <f t="shared" si="72"/>
        <v>283.30000000000007</v>
      </c>
      <c r="V38" s="10">
        <f t="shared" si="72"/>
        <v>287.65000000000009</v>
      </c>
      <c r="W38" s="10">
        <f t="shared" si="72"/>
        <v>292.00000000000011</v>
      </c>
      <c r="X38" s="10">
        <f t="shared" si="72"/>
        <v>296.35000000000014</v>
      </c>
      <c r="Y38" s="10">
        <f t="shared" si="72"/>
        <v>300.70000000000016</v>
      </c>
      <c r="Z38" s="10">
        <f t="shared" si="72"/>
        <v>305.05000000000018</v>
      </c>
      <c r="AA38" s="10">
        <f t="shared" si="72"/>
        <v>309.4000000000002</v>
      </c>
      <c r="AB38" s="10">
        <f t="shared" si="72"/>
        <v>313.75000000000023</v>
      </c>
      <c r="AC38" s="10">
        <f t="shared" si="72"/>
        <v>318.10000000000025</v>
      </c>
      <c r="AD38" s="10">
        <f t="shared" si="72"/>
        <v>322.45000000000027</v>
      </c>
      <c r="AE38" s="10">
        <f t="shared" si="72"/>
        <v>326.8000000000003</v>
      </c>
      <c r="AF38" s="10">
        <f t="shared" si="72"/>
        <v>331.15000000000032</v>
      </c>
      <c r="AG38" s="10">
        <f t="shared" si="72"/>
        <v>335.50000000000034</v>
      </c>
      <c r="AH38" s="10">
        <f t="shared" si="72"/>
        <v>339.85000000000036</v>
      </c>
      <c r="AI38" s="10">
        <f t="shared" si="72"/>
        <v>344.20000000000039</v>
      </c>
      <c r="AJ38" s="10">
        <f t="shared" si="72"/>
        <v>348.55000000000041</v>
      </c>
      <c r="AK38" s="10">
        <f t="shared" si="72"/>
        <v>352.90000000000043</v>
      </c>
      <c r="AL38" s="10">
        <f t="shared" si="72"/>
        <v>357.25000000000045</v>
      </c>
      <c r="AM38" s="10">
        <f t="shared" si="72"/>
        <v>361.60000000000048</v>
      </c>
      <c r="AN38" s="10">
        <f t="shared" si="72"/>
        <v>365.9500000000005</v>
      </c>
      <c r="AO38" s="10">
        <f t="shared" si="72"/>
        <v>370.30000000000052</v>
      </c>
      <c r="AP38" s="10">
        <f t="shared" ref="AP38" si="73" xml:space="preserve"> AO38 + $B38</f>
        <v>374.65000000000055</v>
      </c>
      <c r="AQ38" s="10">
        <f t="shared" ref="AQ38" si="74" xml:space="preserve"> AP38 + $B38</f>
        <v>379.00000000000057</v>
      </c>
      <c r="AR38" s="10">
        <f t="shared" ref="AR38" si="75" xml:space="preserve"> AQ38 + $B38</f>
        <v>383.35000000000059</v>
      </c>
      <c r="AS38" s="10">
        <f t="shared" ref="AS38" si="76" xml:space="preserve"> AR38 + $B38</f>
        <v>387.70000000000061</v>
      </c>
      <c r="AT38" s="10">
        <f t="shared" ref="AT38" si="77" xml:space="preserve"> AS38 + $B38</f>
        <v>392.05000000000064</v>
      </c>
      <c r="AU38" s="10">
        <f t="shared" ref="AU38" si="78" xml:space="preserve"> AT38 + $B38</f>
        <v>396.40000000000066</v>
      </c>
      <c r="AV38" s="10">
        <f t="shared" ref="AV38" si="79" xml:space="preserve"> AU38 + $B38</f>
        <v>400.75000000000068</v>
      </c>
      <c r="AW38" s="10">
        <f t="shared" ref="AW38" si="80" xml:space="preserve"> AV38 + $B38</f>
        <v>405.1000000000007</v>
      </c>
      <c r="AX38" s="10">
        <f t="shared" ref="AX38" si="81" xml:space="preserve"> AW38 + $B38</f>
        <v>409.45000000000073</v>
      </c>
      <c r="AY38" s="10">
        <f t="shared" ref="AY38" si="82" xml:space="preserve"> AX38 + $B38</f>
        <v>413.80000000000075</v>
      </c>
      <c r="AZ38" s="10">
        <f t="shared" ref="AZ38" si="83" xml:space="preserve"> AY38 + $B38</f>
        <v>418.15000000000077</v>
      </c>
      <c r="BA38" s="10">
        <f t="shared" ref="BA38" si="84" xml:space="preserve"> AZ38 + $B38</f>
        <v>422.5000000000008</v>
      </c>
      <c r="BB38" s="10">
        <f t="shared" ref="BB38" si="85" xml:space="preserve"> BA38 + $B38</f>
        <v>426.85000000000082</v>
      </c>
      <c r="BC38" s="10">
        <f t="shared" ref="BC38" si="86" xml:space="preserve"> BB38 + $B38</f>
        <v>431.20000000000084</v>
      </c>
      <c r="BD38" s="10">
        <f t="shared" ref="BD38" si="87" xml:space="preserve"> BC38 + $B38</f>
        <v>435.55000000000086</v>
      </c>
      <c r="BE38" s="10">
        <f t="shared" ref="BE38" si="88" xml:space="preserve"> BD38 + $B38</f>
        <v>439.90000000000089</v>
      </c>
      <c r="BF38" s="10">
        <f t="shared" ref="BF38" si="89" xml:space="preserve"> BE38 + $B38</f>
        <v>444.25000000000091</v>
      </c>
      <c r="BG38" s="10">
        <f t="shared" ref="BG38:BH38" si="90" xml:space="preserve"> BF38 + $B38</f>
        <v>448.60000000000093</v>
      </c>
      <c r="BH38" s="10">
        <f t="shared" si="90"/>
        <v>452.95000000000095</v>
      </c>
      <c r="BI38" s="10"/>
    </row>
    <row r="39" spans="1:61" s="76" customFormat="1" x14ac:dyDescent="0.2">
      <c r="A39" s="76" t="s">
        <v>19</v>
      </c>
      <c r="B39" s="123"/>
      <c r="C39" s="77">
        <f t="shared" ref="C39:AM39" si="91">C34*C38</f>
        <v>0</v>
      </c>
      <c r="D39" s="77">
        <f t="shared" si="91"/>
        <v>0</v>
      </c>
      <c r="E39" s="77">
        <f t="shared" si="91"/>
        <v>37050237.5</v>
      </c>
      <c r="F39" s="77">
        <f t="shared" si="91"/>
        <v>37804418.75</v>
      </c>
      <c r="G39" s="77">
        <f t="shared" si="91"/>
        <v>289189500</v>
      </c>
      <c r="H39" s="77">
        <f t="shared" si="91"/>
        <v>412784203.12499994</v>
      </c>
      <c r="I39" s="77">
        <f t="shared" si="91"/>
        <v>420703106.24999994</v>
      </c>
      <c r="J39" s="77">
        <f>J34*J38</f>
        <v>428622009.37499994</v>
      </c>
      <c r="K39" s="77">
        <f t="shared" si="91"/>
        <v>436540912.49999994</v>
      </c>
      <c r="L39" s="77">
        <f t="shared" si="91"/>
        <v>444459815.62499988</v>
      </c>
      <c r="M39" s="77">
        <f t="shared" si="91"/>
        <v>452378718.74999988</v>
      </c>
      <c r="N39" s="77">
        <f t="shared" si="91"/>
        <v>460297621.87499988</v>
      </c>
      <c r="O39" s="77">
        <f t="shared" si="91"/>
        <v>468216524.99999988</v>
      </c>
      <c r="P39" s="77">
        <f t="shared" si="91"/>
        <v>476135428.12499994</v>
      </c>
      <c r="Q39" s="77">
        <f t="shared" si="91"/>
        <v>484054331.24999994</v>
      </c>
      <c r="R39" s="77">
        <f t="shared" si="91"/>
        <v>491973234.375</v>
      </c>
      <c r="S39" s="77">
        <f t="shared" si="91"/>
        <v>499892137.50000006</v>
      </c>
      <c r="T39" s="77">
        <f t="shared" si="91"/>
        <v>507811040.62500006</v>
      </c>
      <c r="U39" s="77">
        <f t="shared" si="91"/>
        <v>515729943.75000012</v>
      </c>
      <c r="V39" s="77">
        <f t="shared" si="91"/>
        <v>523648846.87500018</v>
      </c>
      <c r="W39" s="77">
        <f t="shared" si="91"/>
        <v>531567750.00000018</v>
      </c>
      <c r="X39" s="77">
        <f t="shared" si="91"/>
        <v>539486653.12500024</v>
      </c>
      <c r="Y39" s="77">
        <f t="shared" si="91"/>
        <v>547405556.25000024</v>
      </c>
      <c r="Z39" s="77">
        <f t="shared" si="91"/>
        <v>555324459.37500036</v>
      </c>
      <c r="AA39" s="77">
        <f t="shared" si="91"/>
        <v>563243362.50000036</v>
      </c>
      <c r="AB39" s="77">
        <f t="shared" si="91"/>
        <v>571162265.62500036</v>
      </c>
      <c r="AC39" s="77">
        <f t="shared" si="91"/>
        <v>579081168.75000048</v>
      </c>
      <c r="AD39" s="77">
        <f t="shared" si="91"/>
        <v>587000071.87500048</v>
      </c>
      <c r="AE39" s="77">
        <f t="shared" si="91"/>
        <v>594918975.0000006</v>
      </c>
      <c r="AF39" s="77">
        <f t="shared" si="91"/>
        <v>602837878.1250006</v>
      </c>
      <c r="AG39" s="77">
        <f t="shared" si="91"/>
        <v>610756781.2500006</v>
      </c>
      <c r="AH39" s="77">
        <f t="shared" si="91"/>
        <v>618675684.37500072</v>
      </c>
      <c r="AI39" s="77">
        <f t="shared" si="91"/>
        <v>626594587.50000072</v>
      </c>
      <c r="AJ39" s="77">
        <f t="shared" si="91"/>
        <v>634513490.62500072</v>
      </c>
      <c r="AK39" s="77">
        <f t="shared" si="91"/>
        <v>642432393.75000083</v>
      </c>
      <c r="AL39" s="77">
        <f t="shared" si="91"/>
        <v>650351296.87500083</v>
      </c>
      <c r="AM39" s="77">
        <f t="shared" si="91"/>
        <v>658270200.00000083</v>
      </c>
      <c r="AN39" s="77">
        <f t="shared" ref="AN39:AP39" si="92">AN34*AN38</f>
        <v>571019231.25000083</v>
      </c>
      <c r="AO39" s="77">
        <f t="shared" si="92"/>
        <v>449405337.50000066</v>
      </c>
      <c r="AP39" s="77">
        <f t="shared" si="92"/>
        <v>454684606.25000066</v>
      </c>
      <c r="AQ39" s="77">
        <f t="shared" ref="AQ39:AS39" si="93">AQ34*AQ38</f>
        <v>459963875.00000072</v>
      </c>
      <c r="AR39" s="77">
        <f t="shared" si="93"/>
        <v>465243143.75000072</v>
      </c>
      <c r="AS39" s="77">
        <f t="shared" si="93"/>
        <v>470522412.50000072</v>
      </c>
      <c r="AT39" s="77">
        <f t="shared" ref="AT39:AY39" si="94">AT34*AT38</f>
        <v>475801681.25000077</v>
      </c>
      <c r="AU39" s="77">
        <f t="shared" si="94"/>
        <v>481080950.00000077</v>
      </c>
      <c r="AV39" s="77">
        <f t="shared" si="94"/>
        <v>486360218.75000083</v>
      </c>
      <c r="AW39" s="77">
        <f t="shared" si="94"/>
        <v>491639487.50000083</v>
      </c>
      <c r="AX39" s="77">
        <f t="shared" si="94"/>
        <v>496918756.25000089</v>
      </c>
      <c r="AY39" s="77">
        <f t="shared" si="94"/>
        <v>502198025.00000089</v>
      </c>
      <c r="AZ39" s="77">
        <f t="shared" ref="AZ39:BE39" si="95">AZ34*AZ38</f>
        <v>507477293.75000095</v>
      </c>
      <c r="BA39" s="77">
        <f t="shared" si="95"/>
        <v>512756562.50000095</v>
      </c>
      <c r="BB39" s="77">
        <f t="shared" si="95"/>
        <v>518035831.25000101</v>
      </c>
      <c r="BC39" s="77">
        <f t="shared" si="95"/>
        <v>523315100.00000101</v>
      </c>
      <c r="BD39" s="77">
        <f t="shared" si="95"/>
        <v>528594368.75000107</v>
      </c>
      <c r="BE39" s="77">
        <f t="shared" si="95"/>
        <v>533873637.50000107</v>
      </c>
      <c r="BF39" s="77">
        <f t="shared" ref="BF39:BG39" si="96">BF34*BF38</f>
        <v>539152906.25000107</v>
      </c>
      <c r="BG39" s="77">
        <f t="shared" si="96"/>
        <v>544432175.00000107</v>
      </c>
      <c r="BH39" s="77">
        <f t="shared" ref="BH39" si="97">BH34*BH38</f>
        <v>549711443.75000119</v>
      </c>
      <c r="BI39" s="77"/>
    </row>
    <row r="40" spans="1:61" s="76" customFormat="1" x14ac:dyDescent="0.2">
      <c r="B40" s="123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</row>
    <row r="41" spans="1:61" x14ac:dyDescent="0.2">
      <c r="A41" t="s">
        <v>634</v>
      </c>
      <c r="B41" s="31"/>
      <c r="C41" s="94">
        <f t="shared" ref="C41" si="98" xml:space="preserve"> D42</f>
        <v>1</v>
      </c>
      <c r="D41" s="94">
        <f t="shared" ref="D41" si="99" xml:space="preserve"> E42</f>
        <v>0</v>
      </c>
      <c r="E41" s="94">
        <f t="shared" ref="E41" si="100" xml:space="preserve"> F42</f>
        <v>0</v>
      </c>
      <c r="F41" s="94">
        <f t="shared" ref="F41" si="101" xml:space="preserve"> G42</f>
        <v>0</v>
      </c>
      <c r="G41" s="94">
        <f t="shared" ref="G41" si="102" xml:space="preserve"> H42</f>
        <v>0</v>
      </c>
      <c r="H41" s="94">
        <f t="shared" ref="H41" si="103" xml:space="preserve"> I42</f>
        <v>0</v>
      </c>
      <c r="I41" s="94">
        <f t="shared" ref="I41" si="104" xml:space="preserve"> J42</f>
        <v>0</v>
      </c>
      <c r="J41" s="94">
        <f t="shared" ref="J41" si="105" xml:space="preserve"> K42</f>
        <v>0</v>
      </c>
      <c r="K41" s="94">
        <f t="shared" ref="K41" si="106" xml:space="preserve"> L42</f>
        <v>0</v>
      </c>
      <c r="L41" s="94">
        <f t="shared" ref="L41" si="107" xml:space="preserve"> M42</f>
        <v>0</v>
      </c>
      <c r="M41" s="94">
        <f t="shared" ref="M41" si="108" xml:space="preserve"> N42</f>
        <v>0</v>
      </c>
      <c r="N41" s="94">
        <f t="shared" ref="N41" si="109" xml:space="preserve"> O42</f>
        <v>0</v>
      </c>
      <c r="O41" s="94">
        <f t="shared" ref="O41" si="110" xml:space="preserve"> P42</f>
        <v>0</v>
      </c>
      <c r="P41" s="94">
        <f t="shared" ref="P41" si="111" xml:space="preserve"> Q42</f>
        <v>0</v>
      </c>
      <c r="Q41" s="94">
        <f t="shared" ref="Q41" si="112" xml:space="preserve"> R42</f>
        <v>0</v>
      </c>
      <c r="R41" s="94">
        <f t="shared" ref="R41" si="113" xml:space="preserve"> S42</f>
        <v>0</v>
      </c>
      <c r="S41" s="94">
        <f t="shared" ref="S41" si="114" xml:space="preserve"> T42</f>
        <v>0</v>
      </c>
      <c r="T41" s="94">
        <f t="shared" ref="T41" si="115" xml:space="preserve"> U42</f>
        <v>0</v>
      </c>
      <c r="U41" s="94">
        <f t="shared" ref="U41" si="116" xml:space="preserve"> V42</f>
        <v>0</v>
      </c>
      <c r="V41" s="94">
        <f t="shared" ref="V41" si="117" xml:space="preserve"> W42</f>
        <v>0</v>
      </c>
      <c r="W41" s="94">
        <f t="shared" ref="W41" si="118" xml:space="preserve"> X42</f>
        <v>0</v>
      </c>
      <c r="X41" s="94">
        <f t="shared" ref="X41" si="119" xml:space="preserve"> Y42</f>
        <v>0</v>
      </c>
      <c r="Y41" s="94">
        <f t="shared" ref="Y41" si="120" xml:space="preserve"> Z42</f>
        <v>0</v>
      </c>
      <c r="Z41" s="94">
        <f t="shared" ref="Z41" si="121" xml:space="preserve"> AA42</f>
        <v>0</v>
      </c>
      <c r="AA41" s="94">
        <f t="shared" ref="AA41" si="122" xml:space="preserve"> AB42</f>
        <v>0</v>
      </c>
      <c r="AB41" s="94">
        <f t="shared" ref="AB41" si="123" xml:space="preserve"> AC42</f>
        <v>0</v>
      </c>
      <c r="AC41" s="94">
        <f t="shared" ref="AC41" si="124" xml:space="preserve"> AD42</f>
        <v>0</v>
      </c>
      <c r="AD41" s="94">
        <f t="shared" ref="AD41" si="125" xml:space="preserve"> AE42</f>
        <v>0</v>
      </c>
      <c r="AE41" s="94">
        <f t="shared" ref="AE41" si="126" xml:space="preserve"> AF42</f>
        <v>0</v>
      </c>
      <c r="AF41" s="94">
        <f t="shared" ref="AF41" si="127" xml:space="preserve"> AG42</f>
        <v>0</v>
      </c>
      <c r="AG41" s="94">
        <f t="shared" ref="AG41" si="128" xml:space="preserve"> AH42</f>
        <v>0</v>
      </c>
      <c r="AH41" s="94">
        <f t="shared" ref="AH41" si="129" xml:space="preserve"> AI42</f>
        <v>0</v>
      </c>
      <c r="AI41" s="94">
        <f t="shared" ref="AI41" si="130" xml:space="preserve"> AJ42</f>
        <v>0</v>
      </c>
      <c r="AJ41" s="94">
        <f t="shared" ref="AJ41" si="131" xml:space="preserve"> AK42</f>
        <v>0</v>
      </c>
      <c r="AK41" s="94">
        <f t="shared" ref="AK41" si="132" xml:space="preserve"> AL42</f>
        <v>0</v>
      </c>
      <c r="AL41" s="94">
        <f t="shared" ref="AL41" si="133" xml:space="preserve"> AM42</f>
        <v>0</v>
      </c>
      <c r="AM41" s="94">
        <f t="shared" ref="AM41" si="134" xml:space="preserve"> BI42</f>
        <v>0</v>
      </c>
      <c r="AN41" s="94">
        <f t="shared" ref="AN41" si="135" xml:space="preserve"> BJ42</f>
        <v>0</v>
      </c>
      <c r="AO41" s="94">
        <f t="shared" ref="AO41" si="136" xml:space="preserve"> BK42</f>
        <v>0</v>
      </c>
      <c r="AP41" s="94">
        <f t="shared" ref="AP41" si="137" xml:space="preserve"> BL42</f>
        <v>0</v>
      </c>
      <c r="AQ41" s="94">
        <f t="shared" ref="AQ41" si="138" xml:space="preserve"> BM42</f>
        <v>0</v>
      </c>
      <c r="AR41" s="94">
        <f t="shared" ref="AR41" si="139" xml:space="preserve"> BN42</f>
        <v>0</v>
      </c>
      <c r="AS41" s="94">
        <f t="shared" ref="AS41" si="140" xml:space="preserve"> BO42</f>
        <v>0</v>
      </c>
      <c r="AT41" s="94">
        <f t="shared" ref="AT41" si="141" xml:space="preserve"> BP42</f>
        <v>0</v>
      </c>
      <c r="AU41" s="94">
        <f t="shared" ref="AU41" si="142" xml:space="preserve"> BQ42</f>
        <v>0</v>
      </c>
      <c r="AV41" s="94">
        <f t="shared" ref="AV41" si="143" xml:space="preserve"> BR42</f>
        <v>0</v>
      </c>
      <c r="AW41" s="94">
        <f t="shared" ref="AW41" si="144" xml:space="preserve"> BS42</f>
        <v>0</v>
      </c>
      <c r="AX41" s="94">
        <f t="shared" ref="AX41" si="145" xml:space="preserve"> BT42</f>
        <v>0</v>
      </c>
      <c r="AY41" s="94">
        <f t="shared" ref="AY41" si="146" xml:space="preserve"> BU42</f>
        <v>0</v>
      </c>
      <c r="AZ41" s="94">
        <f t="shared" ref="AZ41" si="147" xml:space="preserve"> BV42</f>
        <v>0</v>
      </c>
      <c r="BA41" s="94">
        <f t="shared" ref="BA41" si="148" xml:space="preserve"> BW42</f>
        <v>0</v>
      </c>
      <c r="BB41" s="94">
        <f t="shared" ref="BB41" si="149" xml:space="preserve"> BX42</f>
        <v>0</v>
      </c>
      <c r="BC41" s="94">
        <f t="shared" ref="BC41" si="150" xml:space="preserve"> BY42</f>
        <v>0</v>
      </c>
      <c r="BD41" s="94">
        <f t="shared" ref="BD41" si="151" xml:space="preserve"> BZ42</f>
        <v>0</v>
      </c>
      <c r="BE41" s="94">
        <f t="shared" ref="BE41" si="152" xml:space="preserve"> CA42</f>
        <v>0</v>
      </c>
      <c r="BF41" s="94">
        <f t="shared" ref="BF41" si="153" xml:space="preserve"> CB42</f>
        <v>0</v>
      </c>
      <c r="BG41" s="94">
        <f t="shared" ref="BG41" si="154" xml:space="preserve"> CC42</f>
        <v>0</v>
      </c>
      <c r="BH41" s="94">
        <f t="shared" ref="BH41" si="155" xml:space="preserve"> CD42</f>
        <v>0</v>
      </c>
    </row>
    <row r="42" spans="1:61" x14ac:dyDescent="0.2">
      <c r="A42" t="s">
        <v>635</v>
      </c>
      <c r="B42" s="21">
        <v>1</v>
      </c>
      <c r="C42" s="94">
        <f xml:space="preserve"> IF(D43-C43 &gt; 0, D43-C43,IF(D43-C43 &lt;0, IF(D43&gt;$B42, 1, $B42-SUM(A42:B42)), 0))</f>
        <v>0</v>
      </c>
      <c r="D42" s="94">
        <f t="shared" ref="D42" si="156" xml:space="preserve"> IF(E43-D43 &gt; 0, E43-D43,IF(E43-D43 &lt;0, IF(E43&gt;$B42, 1, $B42-SUM(B42:C42)), 0))</f>
        <v>1</v>
      </c>
      <c r="E42" s="94">
        <f t="shared" ref="E42" si="157" xml:space="preserve"> IF(F43-E43 &gt; 0, F43-E43,IF(F43-E43 &lt;0, IF(F43&gt;$B42, 1, $B42-SUM(C42:D42)), 0))</f>
        <v>0</v>
      </c>
      <c r="F42" s="94">
        <f t="shared" ref="F42" si="158" xml:space="preserve"> IF(G43-F43 &gt; 0, G43-F43,IF(G43-F43 &lt;0, IF(G43&gt;$B42, 1, $B42-SUM(D42:E42)), 0))</f>
        <v>0</v>
      </c>
      <c r="G42" s="94">
        <f t="shared" ref="G42" si="159" xml:space="preserve"> IF(H43-G43 &gt; 0, H43-G43,IF(H43-G43 &lt;0, IF(H43&gt;$B42, 1, $B42-SUM(E42:F42)), 0))</f>
        <v>0</v>
      </c>
      <c r="H42" s="94">
        <f t="shared" ref="H42" si="160" xml:space="preserve"> IF(I43-H43 &gt; 0, I43-H43,IF(I43-H43 &lt;0, IF(I43&gt;$B42, 1, $B42-SUM(F42:G42)), 0))</f>
        <v>0</v>
      </c>
      <c r="I42" s="94">
        <f t="shared" ref="I42" si="161" xml:space="preserve"> IF(J43-I43 &gt; 0, J43-I43,IF(J43-I43 &lt;0, IF(J43&gt;$B42, 1, $B42-SUM(G42:H42)), 0))</f>
        <v>0</v>
      </c>
      <c r="J42" s="94">
        <f t="shared" ref="J42" si="162" xml:space="preserve"> IF(K43-J43 &gt; 0, K43-J43,IF(K43-J43 &lt;0, IF(K43&gt;$B42, 1, $B42-SUM(H42:I42)), 0))</f>
        <v>0</v>
      </c>
      <c r="K42" s="94">
        <f t="shared" ref="K42" si="163" xml:space="preserve"> IF(L43-K43 &gt; 0, L43-K43,IF(L43-K43 &lt;0, IF(L43&gt;$B42, 1, $B42-SUM(I42:J42)), 0))</f>
        <v>0</v>
      </c>
      <c r="L42" s="94">
        <f t="shared" ref="L42" si="164" xml:space="preserve"> IF(M43-L43 &gt; 0, M43-L43,IF(M43-L43 &lt;0, IF(M43&gt;$B42, 1, $B42-SUM(J42:K42)), 0))</f>
        <v>0</v>
      </c>
      <c r="M42" s="94">
        <f t="shared" ref="M42" si="165" xml:space="preserve"> IF(N43-M43 &gt; 0, N43-M43,IF(N43-M43 &lt;0, IF(N43&gt;$B42, 1, $B42-SUM(K42:L42)), 0))</f>
        <v>0</v>
      </c>
      <c r="N42" s="94">
        <f t="shared" ref="N42" si="166" xml:space="preserve"> IF(O43-N43 &gt; 0, O43-N43,IF(O43-N43 &lt;0, IF(O43&gt;$B42, 1, $B42-SUM(L42:M42)), 0))</f>
        <v>0</v>
      </c>
      <c r="O42" s="94">
        <f t="shared" ref="O42" si="167" xml:space="preserve"> IF(P43-O43 &gt; 0, P43-O43,IF(P43-O43 &lt;0, IF(P43&gt;$B42, 1, $B42-SUM(M42:N42)), 0))</f>
        <v>0</v>
      </c>
      <c r="P42" s="94">
        <f t="shared" ref="P42" si="168" xml:space="preserve"> IF(Q43-P43 &gt; 0, Q43-P43,IF(Q43-P43 &lt;0, IF(Q43&gt;$B42, 1, $B42-SUM(N42:O42)), 0))</f>
        <v>0</v>
      </c>
      <c r="Q42" s="94">
        <f t="shared" ref="Q42" si="169" xml:space="preserve"> IF(R43-Q43 &gt; 0, R43-Q43,IF(R43-Q43 &lt;0, IF(R43&gt;$B42, 1, $B42-SUM(O42:P42)), 0))</f>
        <v>0</v>
      </c>
      <c r="R42" s="94">
        <f t="shared" ref="R42" si="170" xml:space="preserve"> IF(S43-R43 &gt; 0, S43-R43,IF(S43-R43 &lt;0, IF(S43&gt;$B42, 1, $B42-SUM(P42:Q42)), 0))</f>
        <v>0</v>
      </c>
      <c r="S42" s="94">
        <f t="shared" ref="S42" si="171" xml:space="preserve"> IF(T43-S43 &gt; 0, T43-S43,IF(T43-S43 &lt;0, IF(T43&gt;$B42, 1, $B42-SUM(Q42:R42)), 0))</f>
        <v>0</v>
      </c>
      <c r="T42" s="94">
        <f t="shared" ref="T42" si="172" xml:space="preserve"> IF(U43-T43 &gt; 0, U43-T43,IF(U43-T43 &lt;0, IF(U43&gt;$B42, 1, $B42-SUM(R42:S42)), 0))</f>
        <v>0</v>
      </c>
      <c r="U42" s="94">
        <f t="shared" ref="U42" si="173" xml:space="preserve"> IF(V43-U43 &gt; 0, V43-U43,IF(V43-U43 &lt;0, IF(V43&gt;$B42, 1, $B42-SUM(S42:T42)), 0))</f>
        <v>0</v>
      </c>
      <c r="V42" s="94">
        <f t="shared" ref="V42" si="174" xml:space="preserve"> IF(W43-V43 &gt; 0, W43-V43,IF(W43-V43 &lt;0, IF(W43&gt;$B42, 1, $B42-SUM(T42:U42)), 0))</f>
        <v>0</v>
      </c>
      <c r="W42" s="94">
        <f t="shared" ref="W42" si="175" xml:space="preserve"> IF(X43-W43 &gt; 0, X43-W43,IF(X43-W43 &lt;0, IF(X43&gt;$B42, 1, $B42-SUM(U42:V42)), 0))</f>
        <v>0</v>
      </c>
      <c r="X42" s="94">
        <f t="shared" ref="X42" si="176" xml:space="preserve"> IF(Y43-X43 &gt; 0, Y43-X43,IF(Y43-X43 &lt;0, IF(Y43&gt;$B42, 1, $B42-SUM(V42:W42)), 0))</f>
        <v>0</v>
      </c>
      <c r="Y42" s="94">
        <f t="shared" ref="Y42" si="177" xml:space="preserve"> IF(Z43-Y43 &gt; 0, Z43-Y43,IF(Z43-Y43 &lt;0, IF(Z43&gt;$B42, 1, $B42-SUM(W42:X42)), 0))</f>
        <v>0</v>
      </c>
      <c r="Z42" s="94">
        <f t="shared" ref="Z42" si="178" xml:space="preserve"> IF(AA43-Z43 &gt; 0, AA43-Z43,IF(AA43-Z43 &lt;0, IF(AA43&gt;$B42, 1, $B42-SUM(X42:Y42)), 0))</f>
        <v>0</v>
      </c>
      <c r="AA42" s="94">
        <f t="shared" ref="AA42" si="179" xml:space="preserve"> IF(AB43-AA43 &gt; 0, AB43-AA43,IF(AB43-AA43 &lt;0, IF(AB43&gt;$B42, 1, $B42-SUM(Y42:Z42)), 0))</f>
        <v>0</v>
      </c>
      <c r="AB42" s="94">
        <f t="shared" ref="AB42" si="180" xml:space="preserve"> IF(AC43-AB43 &gt; 0, AC43-AB43,IF(AC43-AB43 &lt;0, IF(AC43&gt;$B42, 1, $B42-SUM(Z42:AA42)), 0))</f>
        <v>0</v>
      </c>
      <c r="AC42" s="94">
        <f t="shared" ref="AC42" si="181" xml:space="preserve"> IF(AD43-AC43 &gt; 0, AD43-AC43,IF(AD43-AC43 &lt;0, IF(AD43&gt;$B42, 1, $B42-SUM(AA42:AB42)), 0))</f>
        <v>0</v>
      </c>
      <c r="AD42" s="94">
        <f t="shared" ref="AD42" si="182" xml:space="preserve"> IF(AE43-AD43 &gt; 0, AE43-AD43,IF(AE43-AD43 &lt;0, IF(AE43&gt;$B42, 1, $B42-SUM(AB42:AC42)), 0))</f>
        <v>0</v>
      </c>
      <c r="AE42" s="94">
        <f t="shared" ref="AE42" si="183" xml:space="preserve"> IF(AF43-AE43 &gt; 0, AF43-AE43,IF(AF43-AE43 &lt;0, IF(AF43&gt;$B42, 1, $B42-SUM(AC42:AD42)), 0))</f>
        <v>0</v>
      </c>
      <c r="AF42" s="94">
        <f t="shared" ref="AF42" si="184" xml:space="preserve"> IF(AG43-AF43 &gt; 0, AG43-AF43,IF(AG43-AF43 &lt;0, IF(AG43&gt;$B42, 1, $B42-SUM(AD42:AE42)), 0))</f>
        <v>0</v>
      </c>
      <c r="AG42" s="94">
        <f t="shared" ref="AG42" si="185" xml:space="preserve"> IF(AH43-AG43 &gt; 0, AH43-AG43,IF(AH43-AG43 &lt;0, IF(AH43&gt;$B42, 1, $B42-SUM(AE42:AF42)), 0))</f>
        <v>0</v>
      </c>
      <c r="AH42" s="94">
        <f t="shared" ref="AH42" si="186" xml:space="preserve"> IF(AI43-AH43 &gt; 0, AI43-AH43,IF(AI43-AH43 &lt;0, IF(AI43&gt;$B42, 1, $B42-SUM(AF42:AG42)), 0))</f>
        <v>0</v>
      </c>
      <c r="AI42" s="94">
        <f t="shared" ref="AI42" si="187" xml:space="preserve"> IF(AJ43-AI43 &gt; 0, AJ43-AI43,IF(AJ43-AI43 &lt;0, IF(AJ43&gt;$B42, 1, $B42-SUM(AG42:AH42)), 0))</f>
        <v>0</v>
      </c>
      <c r="AJ42" s="94">
        <f t="shared" ref="AJ42" si="188" xml:space="preserve"> IF(AK43-AJ43 &gt; 0, AK43-AJ43,IF(AK43-AJ43 &lt;0, IF(AK43&gt;$B42, 1, $B42-SUM(AH42:AI42)), 0))</f>
        <v>0</v>
      </c>
      <c r="AK42" s="94">
        <f t="shared" ref="AK42" si="189" xml:space="preserve"> IF(AL43-AK43 &gt; 0, AL43-AK43,IF(AL43-AK43 &lt;0, IF(AL43&gt;$B42, 1, $B42-SUM(AI42:AJ42)), 0))</f>
        <v>0</v>
      </c>
      <c r="AL42" s="94">
        <f t="shared" ref="AL42" si="190" xml:space="preserve"> IF(AM43-AL43 &gt; 0, AM43-AL43,IF(AM43-AL43 &lt;0, IF(AM43&gt;$B42, 1, $B42-SUM(AJ42:AK42)), 0))</f>
        <v>0</v>
      </c>
      <c r="AM42" s="94">
        <f t="shared" ref="AM42" si="191" xml:space="preserve"> IF(AN43-AM43 &gt; 0, AN43-AM43,IF(AN43-AM43 &lt;0, IF(AN43&gt;$B42, 1, $B42-SUM(AK42:AL42)), 0))</f>
        <v>0</v>
      </c>
      <c r="AN42" s="94">
        <f t="shared" ref="AN42" si="192" xml:space="preserve"> IF(AO43-AN43 &gt; 0, AO43-AN43,IF(AO43-AN43 &lt;0, IF(AO43&gt;$B42, 1, $B42-SUM(AL42:AM42)), 0))</f>
        <v>0</v>
      </c>
      <c r="AO42" s="94">
        <f t="shared" ref="AO42" si="193" xml:space="preserve"> IF(AP43-AO43 &gt; 0, AP43-AO43,IF(AP43-AO43 &lt;0, IF(AP43&gt;$B42, 1, $B42-SUM(AM42:AN42)), 0))</f>
        <v>0</v>
      </c>
      <c r="AP42" s="94">
        <f t="shared" ref="AP42" si="194" xml:space="preserve"> IF(AQ43-AP43 &gt; 0, AQ43-AP43,IF(AQ43-AP43 &lt;0, IF(AQ43&gt;$B42, 1, $B42-SUM(AN42:AO42)), 0))</f>
        <v>0</v>
      </c>
      <c r="AQ42" s="94">
        <f t="shared" ref="AQ42" si="195" xml:space="preserve"> IF(AR43-AQ43 &gt; 0, AR43-AQ43,IF(AR43-AQ43 &lt;0, IF(AR43&gt;$B42, 1, $B42-SUM(AO42:AP42)), 0))</f>
        <v>0</v>
      </c>
      <c r="AR42" s="94">
        <f t="shared" ref="AR42" si="196" xml:space="preserve"> IF(AS43-AR43 &gt; 0, AS43-AR43,IF(AS43-AR43 &lt;0, IF(AS43&gt;$B42, 1, $B42-SUM(AP42:AQ42)), 0))</f>
        <v>0</v>
      </c>
      <c r="AS42" s="94">
        <f t="shared" ref="AS42" si="197" xml:space="preserve"> IF(AT43-AS43 &gt; 0, AT43-AS43,IF(AT43-AS43 &lt;0, IF(AT43&gt;$B42, 1, $B42-SUM(AQ42:AR42)), 0))</f>
        <v>0</v>
      </c>
      <c r="AT42" s="94">
        <f t="shared" ref="AT42" si="198" xml:space="preserve"> IF(AU43-AT43 &gt; 0, AU43-AT43,IF(AU43-AT43 &lt;0, IF(AU43&gt;$B42, 1, $B42-SUM(AR42:AS42)), 0))</f>
        <v>0</v>
      </c>
      <c r="AU42" s="94">
        <f t="shared" ref="AU42" si="199" xml:space="preserve"> IF(AV43-AU43 &gt; 0, AV43-AU43,IF(AV43-AU43 &lt;0, IF(AV43&gt;$B42, 1, $B42-SUM(AS42:AT42)), 0))</f>
        <v>0</v>
      </c>
      <c r="AV42" s="94">
        <f t="shared" ref="AV42" si="200" xml:space="preserve"> IF(AW43-AV43 &gt; 0, AW43-AV43,IF(AW43-AV43 &lt;0, IF(AW43&gt;$B42, 1, $B42-SUM(AT42:AU42)), 0))</f>
        <v>0</v>
      </c>
      <c r="AW42" s="94">
        <f t="shared" ref="AW42" si="201" xml:space="preserve"> IF(AX43-AW43 &gt; 0, AX43-AW43,IF(AX43-AW43 &lt;0, IF(AX43&gt;$B42, 1, $B42-SUM(AU42:AV42)), 0))</f>
        <v>0</v>
      </c>
      <c r="AX42" s="94">
        <f t="shared" ref="AX42" si="202" xml:space="preserve"> IF(AY43-AX43 &gt; 0, AY43-AX43,IF(AY43-AX43 &lt;0, IF(AY43&gt;$B42, 1, $B42-SUM(AV42:AW42)), 0))</f>
        <v>0</v>
      </c>
      <c r="AY42" s="94">
        <f t="shared" ref="AY42" si="203" xml:space="preserve"> IF(AZ43-AY43 &gt; 0, AZ43-AY43,IF(AZ43-AY43 &lt;0, IF(AZ43&gt;$B42, 1, $B42-SUM(AW42:AX42)), 0))</f>
        <v>0</v>
      </c>
      <c r="AZ42" s="94">
        <f t="shared" ref="AZ42" si="204" xml:space="preserve"> IF(BA43-AZ43 &gt; 0, BA43-AZ43,IF(BA43-AZ43 &lt;0, IF(BA43&gt;$B42, 1, $B42-SUM(AX42:AY42)), 0))</f>
        <v>0</v>
      </c>
      <c r="BA42" s="94">
        <f t="shared" ref="BA42" si="205" xml:space="preserve"> IF(BB43-BA43 &gt; 0, BB43-BA43,IF(BB43-BA43 &lt;0, IF(BB43&gt;$B42, 1, $B42-SUM(AY42:AZ42)), 0))</f>
        <v>0</v>
      </c>
      <c r="BB42" s="94">
        <f t="shared" ref="BB42" si="206" xml:space="preserve"> IF(BC43-BB43 &gt; 0, BC43-BB43,IF(BC43-BB43 &lt;0, IF(BC43&gt;$B42, 1, $B42-SUM(AZ42:BA42)), 0))</f>
        <v>0</v>
      </c>
      <c r="BC42" s="94">
        <f t="shared" ref="BC42" si="207" xml:space="preserve"> IF(BD43-BC43 &gt; 0, BD43-BC43,IF(BD43-BC43 &lt;0, IF(BD43&gt;$B42, 1, $B42-SUM(BA42:BB42)), 0))</f>
        <v>0</v>
      </c>
      <c r="BD42" s="94">
        <f t="shared" ref="BD42" si="208" xml:space="preserve"> IF(BE43-BD43 &gt; 0, BE43-BD43,IF(BE43-BD43 &lt;0, IF(BE43&gt;$B42, 1, $B42-SUM(BB42:BC42)), 0))</f>
        <v>0</v>
      </c>
      <c r="BE42" s="94">
        <f t="shared" ref="BE42" si="209" xml:space="preserve"> IF(BF43-BE43 &gt; 0, BF43-BE43,IF(BF43-BE43 &lt;0, IF(BF43&gt;$B42, 1, $B42-SUM(BC42:BD42)), 0))</f>
        <v>0</v>
      </c>
      <c r="BF42" s="94">
        <f t="shared" ref="BF42" si="210" xml:space="preserve"> IF(BG43-BF43 &gt; 0, BG43-BF43,IF(BG43-BF43 &lt;0, IF(BG43&gt;$B42, 1, $B42-SUM(BD42:BE42)), 0))</f>
        <v>0</v>
      </c>
      <c r="BG42" s="94">
        <f t="shared" ref="BG42" si="211" xml:space="preserve"> IF(BH43-BG43 &gt; 0, BH43-BG43,IF(BH43-BG43 &lt;0, IF(BH43&gt;$B42, 1, $B42-SUM(BE42:BF42)), 0))</f>
        <v>0</v>
      </c>
      <c r="BH42" s="94">
        <f t="shared" ref="BH42" si="212" xml:space="preserve"> IF(BI43-BH43 &gt; 0, BI43-BH43,IF(BI43-BH43 &lt;0, IF(BI43&gt;$B42, 1, $B42-SUM(BF42:BG42)), 0))</f>
        <v>0</v>
      </c>
    </row>
    <row r="43" spans="1:61" x14ac:dyDescent="0.2">
      <c r="A43" t="s">
        <v>643</v>
      </c>
      <c r="B43" s="21">
        <v>1</v>
      </c>
      <c r="C43">
        <f>IF(C$1&gt;$C$1+33,IF(B43-1&gt;$B42,B43-1,$B42),IF(C$1&gt;=$C$1+2,IF(1*(C$1-$C$1-1)&gt;$B43,$B43,1*(C$1-$C$1-1)),0))</f>
        <v>0</v>
      </c>
      <c r="D43">
        <f t="shared" ref="D43:BH43" si="213">IF(D$1&gt;$C$1+33,IF(C43-1&gt;$B42,C43-1,$B42),IF(D$1&gt;=$C$1+2,IF(1*(D$1-$C$1-1)&gt;$B43,$B43,1*(D$1-$C$1-1)),0))</f>
        <v>0</v>
      </c>
      <c r="E43">
        <f t="shared" si="213"/>
        <v>1</v>
      </c>
      <c r="F43">
        <f t="shared" si="213"/>
        <v>1</v>
      </c>
      <c r="G43">
        <f t="shared" si="213"/>
        <v>1</v>
      </c>
      <c r="H43">
        <f t="shared" si="213"/>
        <v>1</v>
      </c>
      <c r="I43">
        <f t="shared" si="213"/>
        <v>1</v>
      </c>
      <c r="J43">
        <f t="shared" si="213"/>
        <v>1</v>
      </c>
      <c r="K43">
        <f t="shared" si="213"/>
        <v>1</v>
      </c>
      <c r="L43">
        <f t="shared" si="213"/>
        <v>1</v>
      </c>
      <c r="M43">
        <f t="shared" si="213"/>
        <v>1</v>
      </c>
      <c r="N43">
        <f t="shared" si="213"/>
        <v>1</v>
      </c>
      <c r="O43">
        <f t="shared" si="213"/>
        <v>1</v>
      </c>
      <c r="P43">
        <f t="shared" si="213"/>
        <v>1</v>
      </c>
      <c r="Q43">
        <f t="shared" si="213"/>
        <v>1</v>
      </c>
      <c r="R43">
        <f t="shared" si="213"/>
        <v>1</v>
      </c>
      <c r="S43">
        <f t="shared" si="213"/>
        <v>1</v>
      </c>
      <c r="T43">
        <f t="shared" si="213"/>
        <v>1</v>
      </c>
      <c r="U43">
        <f t="shared" si="213"/>
        <v>1</v>
      </c>
      <c r="V43">
        <f t="shared" si="213"/>
        <v>1</v>
      </c>
      <c r="W43">
        <f t="shared" si="213"/>
        <v>1</v>
      </c>
      <c r="X43">
        <f t="shared" si="213"/>
        <v>1</v>
      </c>
      <c r="Y43">
        <f t="shared" si="213"/>
        <v>1</v>
      </c>
      <c r="Z43">
        <f t="shared" si="213"/>
        <v>1</v>
      </c>
      <c r="AA43">
        <f t="shared" si="213"/>
        <v>1</v>
      </c>
      <c r="AB43">
        <f t="shared" si="213"/>
        <v>1</v>
      </c>
      <c r="AC43">
        <f t="shared" si="213"/>
        <v>1</v>
      </c>
      <c r="AD43">
        <f t="shared" si="213"/>
        <v>1</v>
      </c>
      <c r="AE43">
        <f t="shared" si="213"/>
        <v>1</v>
      </c>
      <c r="AF43">
        <f t="shared" si="213"/>
        <v>1</v>
      </c>
      <c r="AG43">
        <f t="shared" si="213"/>
        <v>1</v>
      </c>
      <c r="AH43">
        <f t="shared" si="213"/>
        <v>1</v>
      </c>
      <c r="AI43">
        <f t="shared" si="213"/>
        <v>1</v>
      </c>
      <c r="AJ43">
        <f t="shared" si="213"/>
        <v>1</v>
      </c>
      <c r="AK43">
        <f t="shared" si="213"/>
        <v>1</v>
      </c>
      <c r="AL43">
        <f t="shared" si="213"/>
        <v>1</v>
      </c>
      <c r="AM43">
        <f t="shared" si="213"/>
        <v>1</v>
      </c>
      <c r="AN43">
        <f t="shared" si="213"/>
        <v>1</v>
      </c>
      <c r="AO43">
        <f t="shared" si="213"/>
        <v>1</v>
      </c>
      <c r="AP43">
        <f t="shared" si="213"/>
        <v>1</v>
      </c>
      <c r="AQ43">
        <f t="shared" si="213"/>
        <v>1</v>
      </c>
      <c r="AR43">
        <f t="shared" si="213"/>
        <v>1</v>
      </c>
      <c r="AS43">
        <f t="shared" si="213"/>
        <v>1</v>
      </c>
      <c r="AT43">
        <f t="shared" si="213"/>
        <v>1</v>
      </c>
      <c r="AU43">
        <f t="shared" si="213"/>
        <v>1</v>
      </c>
      <c r="AV43">
        <f t="shared" si="213"/>
        <v>1</v>
      </c>
      <c r="AW43">
        <f t="shared" si="213"/>
        <v>1</v>
      </c>
      <c r="AX43">
        <f t="shared" si="213"/>
        <v>1</v>
      </c>
      <c r="AY43">
        <f t="shared" si="213"/>
        <v>1</v>
      </c>
      <c r="AZ43">
        <f t="shared" si="213"/>
        <v>1</v>
      </c>
      <c r="BA43">
        <f t="shared" si="213"/>
        <v>1</v>
      </c>
      <c r="BB43">
        <f t="shared" si="213"/>
        <v>1</v>
      </c>
      <c r="BC43">
        <f t="shared" si="213"/>
        <v>1</v>
      </c>
      <c r="BD43">
        <f t="shared" si="213"/>
        <v>1</v>
      </c>
      <c r="BE43">
        <f t="shared" si="213"/>
        <v>1</v>
      </c>
      <c r="BF43">
        <f t="shared" si="213"/>
        <v>1</v>
      </c>
      <c r="BG43">
        <f t="shared" si="213"/>
        <v>1</v>
      </c>
      <c r="BH43">
        <f t="shared" si="213"/>
        <v>1</v>
      </c>
      <c r="BI43">
        <f xml:space="preserve"> BH43</f>
        <v>1</v>
      </c>
    </row>
    <row r="44" spans="1:61" s="74" customFormat="1" x14ac:dyDescent="0.2">
      <c r="A44" s="74" t="s">
        <v>636</v>
      </c>
      <c r="B44" s="121"/>
      <c r="C44" s="75">
        <f xml:space="preserve"> (C42+D42)/2 * '5MGD 15 Effect Levellized VTE'!$B$3</f>
        <v>12684794.662893724</v>
      </c>
      <c r="D44" s="75">
        <f xml:space="preserve"> (D42+E42)/2 * '5MGD 15 Effect Levellized VTE'!$B$3</f>
        <v>12684794.662893724</v>
      </c>
      <c r="E44" s="75">
        <f xml:space="preserve"> (E42+F42)/2 * '5MGD 15 Effect Levellized VTE'!$B$3</f>
        <v>0</v>
      </c>
      <c r="F44" s="75">
        <f xml:space="preserve"> (F42+G42)/2 * '5MGD 15 Effect Levellized VTE'!$B$3</f>
        <v>0</v>
      </c>
      <c r="G44" s="75">
        <f xml:space="preserve"> (G42+H42)/2 * '5MGD 15 Effect Levellized VTE'!$B$3</f>
        <v>0</v>
      </c>
      <c r="H44" s="75">
        <f xml:space="preserve"> (H42+I42)/2 * '5MGD 15 Effect Levellized VTE'!$B$3</f>
        <v>0</v>
      </c>
      <c r="I44" s="75">
        <f xml:space="preserve"> (I42+J42)/2 * '5MGD 15 Effect Levellized VTE'!$B$3</f>
        <v>0</v>
      </c>
      <c r="J44" s="75">
        <f xml:space="preserve"> (J42+K42)/2 * '5MGD 15 Effect Levellized VTE'!$B$3</f>
        <v>0</v>
      </c>
      <c r="K44" s="75">
        <f xml:space="preserve"> (K42+L42)/2 * '5MGD 15 Effect Levellized VTE'!$B$3</f>
        <v>0</v>
      </c>
      <c r="L44" s="75">
        <f xml:space="preserve"> (L42+M42)/2 * '5MGD 15 Effect Levellized VTE'!$B$3</f>
        <v>0</v>
      </c>
      <c r="M44" s="75">
        <f xml:space="preserve"> (M42+N42)/2 * '5MGD 15 Effect Levellized VTE'!$B$3</f>
        <v>0</v>
      </c>
      <c r="N44" s="75">
        <f xml:space="preserve"> (N42+O42)/2 * '5MGD 15 Effect Levellized VTE'!$B$3</f>
        <v>0</v>
      </c>
      <c r="O44" s="75">
        <f xml:space="preserve"> (O42+P42)/2 * '5MGD 15 Effect Levellized VTE'!$B$3</f>
        <v>0</v>
      </c>
      <c r="P44" s="75">
        <f xml:space="preserve"> (P42+Q42)/2 * '5MGD 15 Effect Levellized VTE'!$B$3</f>
        <v>0</v>
      </c>
      <c r="Q44" s="75">
        <f xml:space="preserve"> (Q42+R42)/2 * '5MGD 15 Effect Levellized VTE'!$B$3</f>
        <v>0</v>
      </c>
      <c r="R44" s="75">
        <f xml:space="preserve"> (R42+S42)/2 * '5MGD 15 Effect Levellized VTE'!$B$3</f>
        <v>0</v>
      </c>
      <c r="S44" s="75">
        <f xml:space="preserve"> (S42+T42)/2 * '5MGD 15 Effect Levellized VTE'!$B$3</f>
        <v>0</v>
      </c>
      <c r="T44" s="75">
        <f xml:space="preserve"> (T42+U42)/2 * '5MGD 15 Effect Levellized VTE'!$B$3</f>
        <v>0</v>
      </c>
      <c r="U44" s="75">
        <f xml:space="preserve"> (U42+V42)/2 * '5MGD 15 Effect Levellized VTE'!$B$3</f>
        <v>0</v>
      </c>
      <c r="V44" s="75">
        <f xml:space="preserve"> (V42+W42)/2 * '5MGD 15 Effect Levellized VTE'!$B$3</f>
        <v>0</v>
      </c>
      <c r="W44" s="75">
        <f xml:space="preserve"> (W42+X42)/2 * '5MGD 15 Effect Levellized VTE'!$B$3</f>
        <v>0</v>
      </c>
      <c r="X44" s="75">
        <f xml:space="preserve"> (X42+Y42)/2 * '5MGD 15 Effect Levellized VTE'!$B$3</f>
        <v>0</v>
      </c>
      <c r="Y44" s="75">
        <f xml:space="preserve"> (Y42+Z42)/2 * '5MGD 15 Effect Levellized VTE'!$B$3</f>
        <v>0</v>
      </c>
      <c r="Z44" s="75">
        <f xml:space="preserve"> (Z42+AA42)/2 * '5MGD 15 Effect Levellized VTE'!$B$3</f>
        <v>0</v>
      </c>
      <c r="AA44" s="75">
        <f xml:space="preserve"> (AA42+AB42)/2 * '5MGD 15 Effect Levellized VTE'!$B$3</f>
        <v>0</v>
      </c>
      <c r="AB44" s="75">
        <f xml:space="preserve"> (AB42+AC42)/2 * '5MGD 15 Effect Levellized VTE'!$B$3</f>
        <v>0</v>
      </c>
      <c r="AC44" s="75">
        <f xml:space="preserve"> (AC42+AD42)/2 * '5MGD 15 Effect Levellized VTE'!$B$3</f>
        <v>0</v>
      </c>
      <c r="AD44" s="75">
        <f xml:space="preserve"> (AD42+AE42)/2 * '5MGD 15 Effect Levellized VTE'!$B$3</f>
        <v>0</v>
      </c>
      <c r="AE44" s="75">
        <f xml:space="preserve"> (AE42+AF42)/2 * '5MGD 15 Effect Levellized VTE'!$B$3</f>
        <v>0</v>
      </c>
      <c r="AF44" s="75">
        <f xml:space="preserve"> (AF42+AG42)/2 * '5MGD 15 Effect Levellized VTE'!$B$3</f>
        <v>0</v>
      </c>
      <c r="AG44" s="75">
        <f xml:space="preserve"> (AG42+AH42)/2 * '5MGD 15 Effect Levellized VTE'!$B$3</f>
        <v>0</v>
      </c>
      <c r="AH44" s="75">
        <f xml:space="preserve"> (AH42+AI42)/2 * '5MGD 15 Effect Levellized VTE'!$B$3</f>
        <v>0</v>
      </c>
      <c r="AI44" s="75">
        <f xml:space="preserve"> (AI42+AJ42)/2 * '5MGD 15 Effect Levellized VTE'!$B$3</f>
        <v>0</v>
      </c>
      <c r="AJ44" s="75">
        <f xml:space="preserve"> (AJ42+AK42)/2 * '5MGD 15 Effect Levellized VTE'!$B$3</f>
        <v>0</v>
      </c>
      <c r="AK44" s="75">
        <f xml:space="preserve"> (AK42+AL42)/2 * '5MGD 15 Effect Levellized VTE'!$B$3</f>
        <v>0</v>
      </c>
      <c r="AL44" s="75">
        <f xml:space="preserve"> (AL42+AM42)/2 * '5MGD 15 Effect Levellized VTE'!$B$3</f>
        <v>0</v>
      </c>
      <c r="AM44" s="75">
        <f xml:space="preserve"> (AM42+AN42)/2 * '5MGD 15 Effect Levellized VTE'!$B$3</f>
        <v>0</v>
      </c>
      <c r="AN44" s="75">
        <f xml:space="preserve"> (AN42+AO42)/2 * '5MGD 15 Effect Levellized VTE'!$B$3</f>
        <v>0</v>
      </c>
      <c r="AO44" s="75">
        <f xml:space="preserve"> (AO42+AP42)/2 * '5MGD 15 Effect Levellized VTE'!$B$3</f>
        <v>0</v>
      </c>
      <c r="AP44" s="75">
        <f xml:space="preserve"> (AP42+AQ42)/2 * '5MGD 15 Effect Levellized VTE'!$B$3</f>
        <v>0</v>
      </c>
      <c r="AQ44" s="75">
        <f xml:space="preserve"> (AQ42+AR42)/2 * '5MGD 15 Effect Levellized VTE'!$B$3</f>
        <v>0</v>
      </c>
      <c r="AR44" s="75">
        <f xml:space="preserve"> (AR42+AS42)/2 * '5MGD 15 Effect Levellized VTE'!$B$3</f>
        <v>0</v>
      </c>
      <c r="AS44" s="75">
        <f xml:space="preserve"> (AS42+AT42)/2 * '5MGD 15 Effect Levellized VTE'!$B$3</f>
        <v>0</v>
      </c>
      <c r="AT44" s="75">
        <f xml:space="preserve"> (AT42+AU42)/2 * '5MGD 15 Effect Levellized VTE'!$B$3</f>
        <v>0</v>
      </c>
      <c r="AU44" s="75">
        <f xml:space="preserve"> (AU42+AV42)/2 * '5MGD 15 Effect Levellized VTE'!$B$3</f>
        <v>0</v>
      </c>
      <c r="AV44" s="75">
        <f xml:space="preserve"> (AV42+AW42)/2 * '5MGD 15 Effect Levellized VTE'!$B$3</f>
        <v>0</v>
      </c>
      <c r="AW44" s="75">
        <f xml:space="preserve"> (AW42+AX42)/2 * '5MGD 15 Effect Levellized VTE'!$B$3</f>
        <v>0</v>
      </c>
      <c r="AX44" s="75">
        <f xml:space="preserve"> (AX42+AY42)/2 * '5MGD 15 Effect Levellized VTE'!$B$3</f>
        <v>0</v>
      </c>
      <c r="AY44" s="75">
        <f xml:space="preserve"> (AY42+AZ42)/2 * '5MGD 15 Effect Levellized VTE'!$B$3</f>
        <v>0</v>
      </c>
      <c r="AZ44" s="75">
        <f xml:space="preserve"> (AZ42+BA42)/2 * '5MGD 15 Effect Levellized VTE'!$B$3</f>
        <v>0</v>
      </c>
      <c r="BA44" s="75">
        <f xml:space="preserve"> (BA42+BB42)/2 * '5MGD 15 Effect Levellized VTE'!$B$3</f>
        <v>0</v>
      </c>
      <c r="BB44" s="75">
        <f xml:space="preserve"> (BB42+BC42)/2 * '5MGD 15 Effect Levellized VTE'!$B$3</f>
        <v>0</v>
      </c>
      <c r="BC44" s="75">
        <f xml:space="preserve"> (BC42+BD42)/2 * '5MGD 15 Effect Levellized VTE'!$B$3</f>
        <v>0</v>
      </c>
      <c r="BD44" s="75">
        <f xml:space="preserve"> (BD42+BE42)/2 * '5MGD 15 Effect Levellized VTE'!$B$3</f>
        <v>0</v>
      </c>
      <c r="BE44" s="75">
        <f xml:space="preserve"> (BE42+BF42)/2 * '5MGD 15 Effect Levellized VTE'!$B$3</f>
        <v>0</v>
      </c>
      <c r="BF44" s="75">
        <f xml:space="preserve"> (BF42+BG42)/2 * '5MGD 15 Effect Levellized VTE'!$B$3</f>
        <v>0</v>
      </c>
      <c r="BG44" s="75">
        <f xml:space="preserve"> (BG42+BH42)/2 * '5MGD 15 Effect Levellized VTE'!$B$3</f>
        <v>0</v>
      </c>
      <c r="BH44" s="75">
        <f xml:space="preserve"> (BH42+BI42)/2 * '5MGD 15 Effect Levellized VTE'!$B$3</f>
        <v>0</v>
      </c>
      <c r="BI44" s="75"/>
    </row>
    <row r="45" spans="1:61" s="74" customFormat="1" x14ac:dyDescent="0.2">
      <c r="A45" s="74" t="s">
        <v>637</v>
      </c>
      <c r="B45" s="121"/>
      <c r="C45" s="75">
        <f>C43 * '5MGD 15 Effect Levellized VTE'!$B$25</f>
        <v>0</v>
      </c>
      <c r="D45" s="75">
        <f>D43 * '5MGD 15 Effect Levellized VTE'!$B$25</f>
        <v>0</v>
      </c>
      <c r="E45" s="75">
        <f>E43 * '5MGD 15 Effect Levellized VTE'!$B$25</f>
        <v>6021474.7834568927</v>
      </c>
      <c r="F45" s="75">
        <f>F43 * '5MGD 15 Effect Levellized VTE'!$B$25</f>
        <v>6021474.7834568927</v>
      </c>
      <c r="G45" s="75">
        <f>G43 * '5MGD 15 Effect Levellized VTE'!$B$25</f>
        <v>6021474.7834568927</v>
      </c>
      <c r="H45" s="75">
        <f>H43 * '5MGD 15 Effect Levellized VTE'!$B$25</f>
        <v>6021474.7834568927</v>
      </c>
      <c r="I45" s="75">
        <f>I43 * '5MGD 15 Effect Levellized VTE'!$B$25</f>
        <v>6021474.7834568927</v>
      </c>
      <c r="J45" s="75">
        <f>J43 * '5MGD 15 Effect Levellized VTE'!$B$25</f>
        <v>6021474.7834568927</v>
      </c>
      <c r="K45" s="75">
        <f>K43 * '5MGD 15 Effect Levellized VTE'!$B$25</f>
        <v>6021474.7834568927</v>
      </c>
      <c r="L45" s="75">
        <f>L43 * '5MGD 15 Effect Levellized VTE'!$B$25</f>
        <v>6021474.7834568927</v>
      </c>
      <c r="M45" s="75">
        <f>M43 * '5MGD 15 Effect Levellized VTE'!$B$25</f>
        <v>6021474.7834568927</v>
      </c>
      <c r="N45" s="75">
        <f>N43 * '5MGD 15 Effect Levellized VTE'!$B$25</f>
        <v>6021474.7834568927</v>
      </c>
      <c r="O45" s="75">
        <f>O43 * '5MGD 15 Effect Levellized VTE'!$B$25</f>
        <v>6021474.7834568927</v>
      </c>
      <c r="P45" s="75">
        <f>P43 * '5MGD 15 Effect Levellized VTE'!$B$25</f>
        <v>6021474.7834568927</v>
      </c>
      <c r="Q45" s="75">
        <f>Q43 * '5MGD 15 Effect Levellized VTE'!$B$25</f>
        <v>6021474.7834568927</v>
      </c>
      <c r="R45" s="75">
        <f>R43 * '5MGD 15 Effect Levellized VTE'!$B$25</f>
        <v>6021474.7834568927</v>
      </c>
      <c r="S45" s="75">
        <f>S43 * '5MGD 15 Effect Levellized VTE'!$B$25</f>
        <v>6021474.7834568927</v>
      </c>
      <c r="T45" s="75">
        <f>T43 * '5MGD 15 Effect Levellized VTE'!$B$25</f>
        <v>6021474.7834568927</v>
      </c>
      <c r="U45" s="75">
        <f>U43 * '5MGD 15 Effect Levellized VTE'!$B$25</f>
        <v>6021474.7834568927</v>
      </c>
      <c r="V45" s="75">
        <f>V43 * '5MGD 15 Effect Levellized VTE'!$B$25</f>
        <v>6021474.7834568927</v>
      </c>
      <c r="W45" s="75">
        <f>W43 * '5MGD 15 Effect Levellized VTE'!$B$25</f>
        <v>6021474.7834568927</v>
      </c>
      <c r="X45" s="75">
        <f>X43 * '5MGD 15 Effect Levellized VTE'!$B$25</f>
        <v>6021474.7834568927</v>
      </c>
      <c r="Y45" s="75">
        <f>Y43 * '5MGD 15 Effect Levellized VTE'!$B$25</f>
        <v>6021474.7834568927</v>
      </c>
      <c r="Z45" s="75">
        <f>Z43 * '5MGD 15 Effect Levellized VTE'!$B$25</f>
        <v>6021474.7834568927</v>
      </c>
      <c r="AA45" s="75">
        <f>AA43 * '5MGD 15 Effect Levellized VTE'!$B$25</f>
        <v>6021474.7834568927</v>
      </c>
      <c r="AB45" s="75">
        <f>AB43 * '5MGD 15 Effect Levellized VTE'!$B$25</f>
        <v>6021474.7834568927</v>
      </c>
      <c r="AC45" s="75">
        <f>AC43 * '5MGD 15 Effect Levellized VTE'!$B$25</f>
        <v>6021474.7834568927</v>
      </c>
      <c r="AD45" s="75">
        <f>AD43 * '5MGD 15 Effect Levellized VTE'!$B$25</f>
        <v>6021474.7834568927</v>
      </c>
      <c r="AE45" s="75">
        <f>AE43 * '5MGD 15 Effect Levellized VTE'!$B$25</f>
        <v>6021474.7834568927</v>
      </c>
      <c r="AF45" s="75">
        <f>AF43 * '5MGD 15 Effect Levellized VTE'!$B$25</f>
        <v>6021474.7834568927</v>
      </c>
      <c r="AG45" s="75">
        <f>AG43 * '5MGD 15 Effect Levellized VTE'!$B$25</f>
        <v>6021474.7834568927</v>
      </c>
      <c r="AH45" s="75">
        <f>AH43 * '5MGD 15 Effect Levellized VTE'!$B$25</f>
        <v>6021474.7834568927</v>
      </c>
      <c r="AI45" s="75">
        <f>AI43 * '5MGD 15 Effect Levellized VTE'!$B$25</f>
        <v>6021474.7834568927</v>
      </c>
      <c r="AJ45" s="75">
        <f>AJ43 * '5MGD 15 Effect Levellized VTE'!$B$25</f>
        <v>6021474.7834568927</v>
      </c>
      <c r="AK45" s="75">
        <f>AK43 * '5MGD 15 Effect Levellized VTE'!$B$25</f>
        <v>6021474.7834568927</v>
      </c>
      <c r="AL45" s="75">
        <f>AL43 * '5MGD 15 Effect Levellized VTE'!$B$25</f>
        <v>6021474.7834568927</v>
      </c>
      <c r="AM45" s="75">
        <f>AM43 * '5MGD 15 Effect Levellized VTE'!$B$25</f>
        <v>6021474.7834568927</v>
      </c>
      <c r="AN45" s="75">
        <f>AN43 * '5MGD 15 Effect Levellized VTE'!$B$25</f>
        <v>6021474.7834568927</v>
      </c>
      <c r="AO45" s="75">
        <f>AO43 * '5MGD 15 Effect Levellized VTE'!$B$25</f>
        <v>6021474.7834568927</v>
      </c>
      <c r="AP45" s="75">
        <f>AP43 * '5MGD 15 Effect Levellized VTE'!$B$25</f>
        <v>6021474.7834568927</v>
      </c>
      <c r="AQ45" s="75">
        <f>AQ43 * '5MGD 15 Effect Levellized VTE'!$B$25</f>
        <v>6021474.7834568927</v>
      </c>
      <c r="AR45" s="75">
        <f>AR43 * '5MGD 15 Effect Levellized VTE'!$B$25</f>
        <v>6021474.7834568927</v>
      </c>
      <c r="AS45" s="75">
        <f>AS43 * '5MGD 15 Effect Levellized VTE'!$B$25</f>
        <v>6021474.7834568927</v>
      </c>
      <c r="AT45" s="75">
        <f>AT43 * '5MGD 15 Effect Levellized VTE'!$B$25</f>
        <v>6021474.7834568927</v>
      </c>
      <c r="AU45" s="75">
        <f>AU43 * '5MGD 15 Effect Levellized VTE'!$B$25</f>
        <v>6021474.7834568927</v>
      </c>
      <c r="AV45" s="75">
        <f>AV43 * '5MGD 15 Effect Levellized VTE'!$B$25</f>
        <v>6021474.7834568927</v>
      </c>
      <c r="AW45" s="75">
        <f>AW43 * '5MGD 15 Effect Levellized VTE'!$B$25</f>
        <v>6021474.7834568927</v>
      </c>
      <c r="AX45" s="75">
        <f>AX43 * '5MGD 15 Effect Levellized VTE'!$B$25</f>
        <v>6021474.7834568927</v>
      </c>
      <c r="AY45" s="75">
        <f>AY43 * '5MGD 15 Effect Levellized VTE'!$B$25</f>
        <v>6021474.7834568927</v>
      </c>
      <c r="AZ45" s="75">
        <f>AZ43 * '5MGD 15 Effect Levellized VTE'!$B$25</f>
        <v>6021474.7834568927</v>
      </c>
      <c r="BA45" s="75">
        <f>BA43 * '5MGD 15 Effect Levellized VTE'!$B$25</f>
        <v>6021474.7834568927</v>
      </c>
      <c r="BB45" s="75">
        <f>BB43 * '5MGD 15 Effect Levellized VTE'!$B$25</f>
        <v>6021474.7834568927</v>
      </c>
      <c r="BC45" s="75">
        <f>BC43 * '5MGD 15 Effect Levellized VTE'!$B$25</f>
        <v>6021474.7834568927</v>
      </c>
      <c r="BD45" s="75">
        <f>BD43 * '5MGD 15 Effect Levellized VTE'!$B$25</f>
        <v>6021474.7834568927</v>
      </c>
      <c r="BE45" s="75">
        <f>BE43 * '5MGD 15 Effect Levellized VTE'!$B$25</f>
        <v>6021474.7834568927</v>
      </c>
      <c r="BF45" s="75">
        <f>BF43 * '5MGD 15 Effect Levellized VTE'!$B$25</f>
        <v>6021474.7834568927</v>
      </c>
      <c r="BG45" s="75">
        <f>BG43 * '5MGD 15 Effect Levellized VTE'!$B$25</f>
        <v>6021474.7834568927</v>
      </c>
      <c r="BH45" s="75">
        <f>BH43 * '5MGD 15 Effect Levellized VTE'!$B$25</f>
        <v>6021474.7834568927</v>
      </c>
      <c r="BI45" s="75"/>
    </row>
    <row r="46" spans="1:61" s="74" customFormat="1" x14ac:dyDescent="0.2">
      <c r="A46" s="74" t="s">
        <v>638</v>
      </c>
      <c r="B46" s="121"/>
      <c r="C46" s="75">
        <f>C43 * '5MGD 15 Effect Levellized VTE'!$B$21</f>
        <v>0</v>
      </c>
      <c r="D46" s="75">
        <f>D43 * '5MGD 15 Effect Levellized VTE'!$B$21</f>
        <v>0</v>
      </c>
      <c r="E46" s="75">
        <f>E43 * '5MGD 15 Effect Levellized VTE'!$B$21</f>
        <v>4944724.7834568927</v>
      </c>
      <c r="F46" s="75">
        <f>F43 * '5MGD 15 Effect Levellized VTE'!$B$21</f>
        <v>4944724.7834568927</v>
      </c>
      <c r="G46" s="75">
        <f>G43 * '5MGD 15 Effect Levellized VTE'!$B$21</f>
        <v>4944724.7834568927</v>
      </c>
      <c r="H46" s="75">
        <f>H43 * '5MGD 15 Effect Levellized VTE'!$B$21</f>
        <v>4944724.7834568927</v>
      </c>
      <c r="I46" s="75">
        <f>I43 * '5MGD 15 Effect Levellized VTE'!$B$21</f>
        <v>4944724.7834568927</v>
      </c>
      <c r="J46" s="75">
        <f>J43 * '5MGD 15 Effect Levellized VTE'!$B$21</f>
        <v>4944724.7834568927</v>
      </c>
      <c r="K46" s="75">
        <f>K43 * '5MGD 15 Effect Levellized VTE'!$B$21</f>
        <v>4944724.7834568927</v>
      </c>
      <c r="L46" s="75">
        <f>L43 * '5MGD 15 Effect Levellized VTE'!$B$21</f>
        <v>4944724.7834568927</v>
      </c>
      <c r="M46" s="75">
        <f>M43 * '5MGD 15 Effect Levellized VTE'!$B$21</f>
        <v>4944724.7834568927</v>
      </c>
      <c r="N46" s="75">
        <f>N43 * '5MGD 15 Effect Levellized VTE'!$B$21</f>
        <v>4944724.7834568927</v>
      </c>
      <c r="O46" s="75">
        <f>O43 * '5MGD 15 Effect Levellized VTE'!$B$21</f>
        <v>4944724.7834568927</v>
      </c>
      <c r="P46" s="75">
        <f>P43 * '5MGD 15 Effect Levellized VTE'!$B$21</f>
        <v>4944724.7834568927</v>
      </c>
      <c r="Q46" s="75">
        <f>Q43 * '5MGD 15 Effect Levellized VTE'!$B$21</f>
        <v>4944724.7834568927</v>
      </c>
      <c r="R46" s="75">
        <f>R43 * '5MGD 15 Effect Levellized VTE'!$B$21</f>
        <v>4944724.7834568927</v>
      </c>
      <c r="S46" s="75">
        <f>S43 * '5MGD 15 Effect Levellized VTE'!$B$21</f>
        <v>4944724.7834568927</v>
      </c>
      <c r="T46" s="75">
        <f>T43 * '5MGD 15 Effect Levellized VTE'!$B$21</f>
        <v>4944724.7834568927</v>
      </c>
      <c r="U46" s="75">
        <f>U43 * '5MGD 15 Effect Levellized VTE'!$B$21</f>
        <v>4944724.7834568927</v>
      </c>
      <c r="V46" s="75">
        <f>V43 * '5MGD 15 Effect Levellized VTE'!$B$21</f>
        <v>4944724.7834568927</v>
      </c>
      <c r="W46" s="75">
        <f>W43 * '5MGD 15 Effect Levellized VTE'!$B$21</f>
        <v>4944724.7834568927</v>
      </c>
      <c r="X46" s="75">
        <f>X43 * '5MGD 15 Effect Levellized VTE'!$B$21</f>
        <v>4944724.7834568927</v>
      </c>
      <c r="Y46" s="75">
        <f>Y43 * '5MGD 15 Effect Levellized VTE'!$B$21</f>
        <v>4944724.7834568927</v>
      </c>
      <c r="Z46" s="75">
        <f>Z43 * '5MGD 15 Effect Levellized VTE'!$B$21</f>
        <v>4944724.7834568927</v>
      </c>
      <c r="AA46" s="75">
        <f>AA43 * '5MGD 15 Effect Levellized VTE'!$B$21</f>
        <v>4944724.7834568927</v>
      </c>
      <c r="AB46" s="75">
        <f>AB43 * '5MGD 15 Effect Levellized VTE'!$B$21</f>
        <v>4944724.7834568927</v>
      </c>
      <c r="AC46" s="75">
        <f>AC43 * '5MGD 15 Effect Levellized VTE'!$B$21</f>
        <v>4944724.7834568927</v>
      </c>
      <c r="AD46" s="75">
        <f>AD43 * '5MGD 15 Effect Levellized VTE'!$B$21</f>
        <v>4944724.7834568927</v>
      </c>
      <c r="AE46" s="75">
        <f>AE43 * '5MGD 15 Effect Levellized VTE'!$B$21</f>
        <v>4944724.7834568927</v>
      </c>
      <c r="AF46" s="75">
        <f>AF43 * '5MGD 15 Effect Levellized VTE'!$B$21</f>
        <v>4944724.7834568927</v>
      </c>
      <c r="AG46" s="75">
        <f>AG43 * '5MGD 15 Effect Levellized VTE'!$B$21</f>
        <v>4944724.7834568927</v>
      </c>
      <c r="AH46" s="75">
        <f>AH43 * '5MGD 15 Effect Levellized VTE'!$B$21</f>
        <v>4944724.7834568927</v>
      </c>
      <c r="AI46" s="75">
        <f>AI43 * '5MGD 15 Effect Levellized VTE'!$B$21</f>
        <v>4944724.7834568927</v>
      </c>
      <c r="AJ46" s="75">
        <f>AJ43 * '5MGD 15 Effect Levellized VTE'!$B$21</f>
        <v>4944724.7834568927</v>
      </c>
      <c r="AK46" s="75">
        <f>AK43 * '5MGD 15 Effect Levellized VTE'!$B$21</f>
        <v>4944724.7834568927</v>
      </c>
      <c r="AL46" s="75">
        <f>AL43 * '5MGD 15 Effect Levellized VTE'!$B$21</f>
        <v>4944724.7834568927</v>
      </c>
      <c r="AM46" s="75">
        <f>AM43 * '5MGD 15 Effect Levellized VTE'!$B$21</f>
        <v>4944724.7834568927</v>
      </c>
      <c r="AN46" s="75">
        <f>AN43 * '5MGD 15 Effect Levellized VTE'!$B$21</f>
        <v>4944724.7834568927</v>
      </c>
      <c r="AO46" s="75">
        <f>AO43 * '5MGD 15 Effect Levellized VTE'!$B$21</f>
        <v>4944724.7834568927</v>
      </c>
      <c r="AP46" s="75">
        <f>AP43 * '5MGD 15 Effect Levellized VTE'!$B$21</f>
        <v>4944724.7834568927</v>
      </c>
      <c r="AQ46" s="75">
        <f>AQ43 * '5MGD 15 Effect Levellized VTE'!$B$21</f>
        <v>4944724.7834568927</v>
      </c>
      <c r="AR46" s="75">
        <f>AR43 * '5MGD 15 Effect Levellized VTE'!$B$21</f>
        <v>4944724.7834568927</v>
      </c>
      <c r="AS46" s="75">
        <f>AS43 * '5MGD 15 Effect Levellized VTE'!$B$21</f>
        <v>4944724.7834568927</v>
      </c>
      <c r="AT46" s="75">
        <f>AT43 * '5MGD 15 Effect Levellized VTE'!$B$21</f>
        <v>4944724.7834568927</v>
      </c>
      <c r="AU46" s="75">
        <f>AU43 * '5MGD 15 Effect Levellized VTE'!$B$21</f>
        <v>4944724.7834568927</v>
      </c>
      <c r="AV46" s="75">
        <f>AV43 * '5MGD 15 Effect Levellized VTE'!$B$21</f>
        <v>4944724.7834568927</v>
      </c>
      <c r="AW46" s="75">
        <f>AW43 * '5MGD 15 Effect Levellized VTE'!$B$21</f>
        <v>4944724.7834568927</v>
      </c>
      <c r="AX46" s="75">
        <f>AX43 * '5MGD 15 Effect Levellized VTE'!$B$21</f>
        <v>4944724.7834568927</v>
      </c>
      <c r="AY46" s="75">
        <f>AY43 * '5MGD 15 Effect Levellized VTE'!$B$21</f>
        <v>4944724.7834568927</v>
      </c>
      <c r="AZ46" s="75">
        <f>AZ43 * '5MGD 15 Effect Levellized VTE'!$B$21</f>
        <v>4944724.7834568927</v>
      </c>
      <c r="BA46" s="75">
        <f>BA43 * '5MGD 15 Effect Levellized VTE'!$B$21</f>
        <v>4944724.7834568927</v>
      </c>
      <c r="BB46" s="75">
        <f>BB43 * '5MGD 15 Effect Levellized VTE'!$B$21</f>
        <v>4944724.7834568927</v>
      </c>
      <c r="BC46" s="75">
        <f>BC43 * '5MGD 15 Effect Levellized VTE'!$B$21</f>
        <v>4944724.7834568927</v>
      </c>
      <c r="BD46" s="75">
        <f>BD43 * '5MGD 15 Effect Levellized VTE'!$B$21</f>
        <v>4944724.7834568927</v>
      </c>
      <c r="BE46" s="75">
        <f>BE43 * '5MGD 15 Effect Levellized VTE'!$B$21</f>
        <v>4944724.7834568927</v>
      </c>
      <c r="BF46" s="75">
        <f>BF43 * '5MGD 15 Effect Levellized VTE'!$B$21</f>
        <v>4944724.7834568927</v>
      </c>
      <c r="BG46" s="75">
        <f>BG43 * '5MGD 15 Effect Levellized VTE'!$B$21</f>
        <v>4944724.7834568927</v>
      </c>
      <c r="BH46" s="75">
        <f>BH43 * '5MGD 15 Effect Levellized VTE'!$B$21</f>
        <v>4944724.7834568927</v>
      </c>
      <c r="BI46" s="75"/>
    </row>
    <row r="47" spans="1:61" s="173" customFormat="1" x14ac:dyDescent="0.2">
      <c r="A47" s="173" t="s">
        <v>627</v>
      </c>
      <c r="B47" s="180"/>
      <c r="C47" s="182">
        <v>82093.817504011808</v>
      </c>
      <c r="D47" s="182">
        <v>85623.784615602955</v>
      </c>
      <c r="E47" s="182">
        <v>89102.492911776746</v>
      </c>
      <c r="F47" s="182">
        <v>92366.797135980625</v>
      </c>
      <c r="G47" s="182">
        <v>95365.29214892826</v>
      </c>
      <c r="H47" s="182">
        <v>96885.326706661333</v>
      </c>
      <c r="I47" s="182">
        <v>97009.266410044351</v>
      </c>
      <c r="J47" s="182">
        <v>96437.584012974432</v>
      </c>
      <c r="K47" s="182">
        <v>95158.740445307412</v>
      </c>
      <c r="L47" s="182">
        <v>93122.87511885936</v>
      </c>
      <c r="M47" s="182">
        <v>90467.36591654364</v>
      </c>
      <c r="N47" s="182">
        <v>87704.088565071012</v>
      </c>
      <c r="O47" s="182">
        <v>84954.088833161528</v>
      </c>
      <c r="P47" s="182">
        <v>82271.122765925073</v>
      </c>
      <c r="Q47" s="182">
        <v>79557.657579262654</v>
      </c>
      <c r="R47" s="182">
        <v>76890.897729733813</v>
      </c>
      <c r="S47" s="182">
        <v>74218.969350445477</v>
      </c>
      <c r="T47" s="182">
        <v>71714.354066875821</v>
      </c>
      <c r="U47" s="182">
        <v>69211.508296618529</v>
      </c>
      <c r="V47" s="182">
        <v>66816.935676012712</v>
      </c>
      <c r="W47" s="182">
        <v>64472.540432399124</v>
      </c>
      <c r="X47" s="182">
        <v>62274.195905677851</v>
      </c>
      <c r="Y47" s="182">
        <v>60089.036017025042</v>
      </c>
      <c r="Z47" s="182">
        <v>57956.29777020678</v>
      </c>
      <c r="AA47" s="182">
        <v>54918.718188389539</v>
      </c>
      <c r="AB47" s="182">
        <v>52280.730052414881</v>
      </c>
      <c r="AC47" s="182">
        <v>49856.334558400224</v>
      </c>
      <c r="AD47" s="182">
        <v>47726.820910904949</v>
      </c>
      <c r="AE47" s="182">
        <v>45786.484230593589</v>
      </c>
      <c r="AF47" s="182">
        <v>43992.571673468185</v>
      </c>
      <c r="AG47" s="182">
        <v>42420.018875367197</v>
      </c>
      <c r="AH47" s="182">
        <v>40961.744836989412</v>
      </c>
      <c r="AI47" s="182">
        <v>39631.712257247469</v>
      </c>
      <c r="AJ47" s="182">
        <v>38435.295900866877</v>
      </c>
      <c r="AK47" s="182">
        <v>37322.846671207284</v>
      </c>
      <c r="AL47" s="182">
        <v>36288.54140477856</v>
      </c>
      <c r="AM47" s="182">
        <v>35326.993020762078</v>
      </c>
      <c r="AN47" s="182">
        <v>34679.227344319544</v>
      </c>
      <c r="AO47" s="182">
        <v>34391.629896988692</v>
      </c>
      <c r="AP47" s="182">
        <v>34385.264588266946</v>
      </c>
      <c r="AQ47" s="182">
        <v>34389.805983508202</v>
      </c>
      <c r="AR47" s="182">
        <v>34404.929622364347</v>
      </c>
      <c r="AS47" s="182">
        <v>34430.344738169049</v>
      </c>
      <c r="AT47" s="182">
        <v>34465.791940596078</v>
      </c>
      <c r="AU47" s="182">
        <v>34511.04168644578</v>
      </c>
      <c r="AV47" s="182">
        <v>34565.892423183759</v>
      </c>
      <c r="AW47" s="182">
        <v>34610.112902865098</v>
      </c>
      <c r="AX47" s="182">
        <v>34664.067422123015</v>
      </c>
      <c r="AY47" s="182">
        <v>34727.579643701407</v>
      </c>
      <c r="AZ47" s="182">
        <v>34780.223567298555</v>
      </c>
      <c r="BA47" s="182">
        <v>34864.840704750124</v>
      </c>
      <c r="BB47" s="182">
        <v>34958.310741796129</v>
      </c>
      <c r="BC47" s="182">
        <v>35039.763403902849</v>
      </c>
      <c r="BD47" s="182">
        <v>35039.763403902849</v>
      </c>
      <c r="BE47" s="182">
        <v>35039.763403902849</v>
      </c>
      <c r="BF47" s="182">
        <v>35039.763403902849</v>
      </c>
      <c r="BG47" s="182">
        <v>35039.763403902849</v>
      </c>
      <c r="BH47" s="182">
        <v>35039.763403902849</v>
      </c>
      <c r="BI47" s="181"/>
    </row>
    <row r="48" spans="1:61" s="91" customFormat="1" x14ac:dyDescent="0.2">
      <c r="A48" s="91" t="s">
        <v>639</v>
      </c>
      <c r="B48" s="124"/>
      <c r="C48" s="92">
        <f xml:space="preserve"> C43 * '5MGD 15 Effect Levellized VTE'!$B$32</f>
        <v>0</v>
      </c>
      <c r="D48" s="92">
        <f xml:space="preserve"> D43 * '5MGD 15 Effect Levellized VTE'!$B$32</f>
        <v>0</v>
      </c>
      <c r="E48" s="92">
        <f xml:space="preserve"> E43 * '5MGD 15 Effect Levellized VTE'!$B$32</f>
        <v>5320.6444578769242</v>
      </c>
      <c r="F48" s="92">
        <f xml:space="preserve"> F43 * '5MGD 15 Effect Levellized VTE'!$B$32</f>
        <v>5320.6444578769242</v>
      </c>
      <c r="G48" s="92">
        <f xml:space="preserve"> G43 * '5MGD 15 Effect Levellized VTE'!$B$32</f>
        <v>5320.6444578769242</v>
      </c>
      <c r="H48" s="92">
        <f xml:space="preserve"> H43 * '5MGD 15 Effect Levellized VTE'!$B$32</f>
        <v>5320.6444578769242</v>
      </c>
      <c r="I48" s="92">
        <f xml:space="preserve"> I43 * '5MGD 15 Effect Levellized VTE'!$B$32</f>
        <v>5320.6444578769242</v>
      </c>
      <c r="J48" s="92">
        <f xml:space="preserve"> J43 * '5MGD 15 Effect Levellized VTE'!$B$32</f>
        <v>5320.6444578769242</v>
      </c>
      <c r="K48" s="92">
        <f xml:space="preserve"> K43 * '5MGD 15 Effect Levellized VTE'!$B$32</f>
        <v>5320.6444578769242</v>
      </c>
      <c r="L48" s="92">
        <f xml:space="preserve"> L43 * '5MGD 15 Effect Levellized VTE'!$B$32</f>
        <v>5320.6444578769242</v>
      </c>
      <c r="M48" s="92">
        <f xml:space="preserve"> M43 * '5MGD 15 Effect Levellized VTE'!$B$32</f>
        <v>5320.6444578769242</v>
      </c>
      <c r="N48" s="92">
        <f xml:space="preserve"> N43 * '5MGD 15 Effect Levellized VTE'!$B$32</f>
        <v>5320.6444578769242</v>
      </c>
      <c r="O48" s="92">
        <f xml:space="preserve"> O43 * '5MGD 15 Effect Levellized VTE'!$B$32</f>
        <v>5320.6444578769242</v>
      </c>
      <c r="P48" s="92">
        <f xml:space="preserve"> P43 * '5MGD 15 Effect Levellized VTE'!$B$32</f>
        <v>5320.6444578769242</v>
      </c>
      <c r="Q48" s="92">
        <f xml:space="preserve"> Q43 * '5MGD 15 Effect Levellized VTE'!$B$32</f>
        <v>5320.6444578769242</v>
      </c>
      <c r="R48" s="92">
        <f xml:space="preserve"> R43 * '5MGD 15 Effect Levellized VTE'!$B$32</f>
        <v>5320.6444578769242</v>
      </c>
      <c r="S48" s="92">
        <f xml:space="preserve"> S43 * '5MGD 15 Effect Levellized VTE'!$B$32</f>
        <v>5320.6444578769242</v>
      </c>
      <c r="T48" s="92">
        <f xml:space="preserve"> T43 * '5MGD 15 Effect Levellized VTE'!$B$32</f>
        <v>5320.6444578769242</v>
      </c>
      <c r="U48" s="92">
        <f xml:space="preserve"> U43 * '5MGD 15 Effect Levellized VTE'!$B$32</f>
        <v>5320.6444578769242</v>
      </c>
      <c r="V48" s="92">
        <f xml:space="preserve"> V43 * '5MGD 15 Effect Levellized VTE'!$B$32</f>
        <v>5320.6444578769242</v>
      </c>
      <c r="W48" s="92">
        <f xml:space="preserve"> W43 * '5MGD 15 Effect Levellized VTE'!$B$32</f>
        <v>5320.6444578769242</v>
      </c>
      <c r="X48" s="92">
        <f xml:space="preserve"> X43 * '5MGD 15 Effect Levellized VTE'!$B$32</f>
        <v>5320.6444578769242</v>
      </c>
      <c r="Y48" s="92">
        <f xml:space="preserve"> Y43 * '5MGD 15 Effect Levellized VTE'!$B$32</f>
        <v>5320.6444578769242</v>
      </c>
      <c r="Z48" s="92">
        <f xml:space="preserve"> Z43 * '5MGD 15 Effect Levellized VTE'!$B$32</f>
        <v>5320.6444578769242</v>
      </c>
      <c r="AA48" s="92">
        <f xml:space="preserve"> AA43 * '5MGD 15 Effect Levellized VTE'!$B$32</f>
        <v>5320.6444578769242</v>
      </c>
      <c r="AB48" s="92">
        <f xml:space="preserve"> AB43 * '5MGD 15 Effect Levellized VTE'!$B$32</f>
        <v>5320.6444578769242</v>
      </c>
      <c r="AC48" s="92">
        <f xml:space="preserve"> AC43 * '5MGD 15 Effect Levellized VTE'!$B$32</f>
        <v>5320.6444578769242</v>
      </c>
      <c r="AD48" s="92">
        <f xml:space="preserve"> AD43 * '5MGD 15 Effect Levellized VTE'!$B$32</f>
        <v>5320.6444578769242</v>
      </c>
      <c r="AE48" s="92">
        <f xml:space="preserve"> AE43 * '5MGD 15 Effect Levellized VTE'!$B$32</f>
        <v>5320.6444578769242</v>
      </c>
      <c r="AF48" s="92">
        <f xml:space="preserve"> AF43 * '5MGD 15 Effect Levellized VTE'!$B$32</f>
        <v>5320.6444578769242</v>
      </c>
      <c r="AG48" s="92">
        <f xml:space="preserve"> AG43 * '5MGD 15 Effect Levellized VTE'!$B$32</f>
        <v>5320.6444578769242</v>
      </c>
      <c r="AH48" s="92">
        <f xml:space="preserve"> AH43 * '5MGD 15 Effect Levellized VTE'!$B$32</f>
        <v>5320.6444578769242</v>
      </c>
      <c r="AI48" s="92">
        <f xml:space="preserve"> AI43 * '5MGD 15 Effect Levellized VTE'!$B$32</f>
        <v>5320.6444578769242</v>
      </c>
      <c r="AJ48" s="92">
        <f xml:space="preserve"> AJ43 * '5MGD 15 Effect Levellized VTE'!$B$32</f>
        <v>5320.6444578769242</v>
      </c>
      <c r="AK48" s="92">
        <f xml:space="preserve"> AK43 * '5MGD 15 Effect Levellized VTE'!$B$32</f>
        <v>5320.6444578769242</v>
      </c>
      <c r="AL48" s="92">
        <f xml:space="preserve"> AL43 * '5MGD 15 Effect Levellized VTE'!$B$32</f>
        <v>5320.6444578769242</v>
      </c>
      <c r="AM48" s="92">
        <f xml:space="preserve"> AM43 * '5MGD 15 Effect Levellized VTE'!$B$32</f>
        <v>5320.6444578769242</v>
      </c>
      <c r="AN48" s="92">
        <f xml:space="preserve"> AN43 * '5MGD 15 Effect Levellized VTE'!$B$32</f>
        <v>5320.6444578769242</v>
      </c>
      <c r="AO48" s="92">
        <f xml:space="preserve"> AO43 * '5MGD 15 Effect Levellized VTE'!$B$32</f>
        <v>5320.6444578769242</v>
      </c>
      <c r="AP48" s="92">
        <f xml:space="preserve"> AP43 * '5MGD 15 Effect Levellized VTE'!$B$32</f>
        <v>5320.6444578769242</v>
      </c>
      <c r="AQ48" s="92">
        <f xml:space="preserve"> AQ43 * '5MGD 15 Effect Levellized VTE'!$B$32</f>
        <v>5320.6444578769242</v>
      </c>
      <c r="AR48" s="92">
        <f xml:space="preserve"> AR43 * '5MGD 15 Effect Levellized VTE'!$B$32</f>
        <v>5320.6444578769242</v>
      </c>
      <c r="AS48" s="92">
        <f xml:space="preserve"> AS43 * '5MGD 15 Effect Levellized VTE'!$B$32</f>
        <v>5320.6444578769242</v>
      </c>
      <c r="AT48" s="92">
        <f xml:space="preserve"> AT43 * '5MGD 15 Effect Levellized VTE'!$B$32</f>
        <v>5320.6444578769242</v>
      </c>
      <c r="AU48" s="92">
        <f xml:space="preserve"> AU43 * '5MGD 15 Effect Levellized VTE'!$B$32</f>
        <v>5320.6444578769242</v>
      </c>
      <c r="AV48" s="92">
        <f xml:space="preserve"> AV43 * '5MGD 15 Effect Levellized VTE'!$B$32</f>
        <v>5320.6444578769242</v>
      </c>
      <c r="AW48" s="92">
        <f xml:space="preserve"> AW43 * '5MGD 15 Effect Levellized VTE'!$B$32</f>
        <v>5320.6444578769242</v>
      </c>
      <c r="AX48" s="92">
        <f xml:space="preserve"> AX43 * '5MGD 15 Effect Levellized VTE'!$B$32</f>
        <v>5320.6444578769242</v>
      </c>
      <c r="AY48" s="92">
        <f xml:space="preserve"> AY43 * '5MGD 15 Effect Levellized VTE'!$B$32</f>
        <v>5320.6444578769242</v>
      </c>
      <c r="AZ48" s="92">
        <f xml:space="preserve"> AZ43 * '5MGD 15 Effect Levellized VTE'!$B$32</f>
        <v>5320.6444578769242</v>
      </c>
      <c r="BA48" s="92">
        <f xml:space="preserve"> BA43 * '5MGD 15 Effect Levellized VTE'!$B$32</f>
        <v>5320.6444578769242</v>
      </c>
      <c r="BB48" s="92">
        <f xml:space="preserve"> BB43 * '5MGD 15 Effect Levellized VTE'!$B$32</f>
        <v>5320.6444578769242</v>
      </c>
      <c r="BC48" s="92">
        <f xml:space="preserve"> BC43 * '5MGD 15 Effect Levellized VTE'!$B$32</f>
        <v>5320.6444578769242</v>
      </c>
      <c r="BD48" s="92">
        <f xml:space="preserve"> BD43 * '5MGD 15 Effect Levellized VTE'!$B$32</f>
        <v>5320.6444578769242</v>
      </c>
      <c r="BE48" s="92">
        <f xml:space="preserve"> BE43 * '5MGD 15 Effect Levellized VTE'!$B$32</f>
        <v>5320.6444578769242</v>
      </c>
      <c r="BF48" s="92">
        <f xml:space="preserve"> BF43 * '5MGD 15 Effect Levellized VTE'!$B$32</f>
        <v>5320.6444578769242</v>
      </c>
      <c r="BG48" s="92">
        <f xml:space="preserve"> BG43 * '5MGD 15 Effect Levellized VTE'!$B$32</f>
        <v>5320.6444578769242</v>
      </c>
      <c r="BH48" s="92">
        <f xml:space="preserve"> BH43 * '5MGD 15 Effect Levellized VTE'!$B$32</f>
        <v>5320.6444578769242</v>
      </c>
      <c r="BI48" s="92"/>
    </row>
    <row r="49" spans="1:61" s="91" customFormat="1" x14ac:dyDescent="0.2">
      <c r="A49" s="91" t="s">
        <v>640</v>
      </c>
      <c r="B49" s="124"/>
      <c r="C49" s="92">
        <f>IF(C50&gt;0,(C48+C50)/C50,0)</f>
        <v>0</v>
      </c>
      <c r="D49" s="92">
        <f t="shared" ref="D49:BH49" si="214">IF(D50&gt;0,(D48+D50)/D50,0)</f>
        <v>0</v>
      </c>
      <c r="E49" s="92">
        <f t="shared" si="214"/>
        <v>7.9167370660483103</v>
      </c>
      <c r="F49" s="92">
        <f t="shared" si="214"/>
        <v>7.6722949643137488</v>
      </c>
      <c r="G49" s="92">
        <f t="shared" si="214"/>
        <v>2.2925006603822777</v>
      </c>
      <c r="H49" s="92">
        <f t="shared" si="214"/>
        <v>1.7067903381238794</v>
      </c>
      <c r="I49" s="92">
        <f t="shared" si="214"/>
        <v>1.4886912339623526</v>
      </c>
      <c r="J49" s="92">
        <f t="shared" si="214"/>
        <v>1.3759203864148322</v>
      </c>
      <c r="K49" s="92">
        <f t="shared" si="214"/>
        <v>1.3084062295807464</v>
      </c>
      <c r="L49" s="92">
        <f t="shared" si="214"/>
        <v>1.2647248657705501</v>
      </c>
      <c r="M49" s="92">
        <f t="shared" si="214"/>
        <v>1.2724953950659867</v>
      </c>
      <c r="N49" s="92">
        <f t="shared" si="214"/>
        <v>1.2810808597334378</v>
      </c>
      <c r="O49" s="92">
        <f t="shared" si="214"/>
        <v>1.2901795658643442</v>
      </c>
      <c r="P49" s="92">
        <f t="shared" si="214"/>
        <v>1.2996426909858345</v>
      </c>
      <c r="Q49" s="92">
        <f t="shared" si="214"/>
        <v>1.3098625747175525</v>
      </c>
      <c r="R49" s="92">
        <f t="shared" si="214"/>
        <v>1.3206093483608112</v>
      </c>
      <c r="S49" s="92">
        <f t="shared" si="214"/>
        <v>1.3321514813767723</v>
      </c>
      <c r="T49" s="92">
        <f t="shared" si="214"/>
        <v>1.3437518323461304</v>
      </c>
      <c r="U49" s="92">
        <f t="shared" si="214"/>
        <v>1.3561826815037372</v>
      </c>
      <c r="V49" s="92">
        <f t="shared" si="214"/>
        <v>1.3689474886358457</v>
      </c>
      <c r="W49" s="92">
        <f t="shared" si="214"/>
        <v>1.3823634131782945</v>
      </c>
      <c r="X49" s="92">
        <f t="shared" si="214"/>
        <v>1.3958612432884112</v>
      </c>
      <c r="Y49" s="92">
        <f t="shared" si="214"/>
        <v>1.4102568829532078</v>
      </c>
      <c r="Z49" s="92">
        <f t="shared" si="214"/>
        <v>1.4253539574551706</v>
      </c>
      <c r="AA49" s="92">
        <f t="shared" si="214"/>
        <v>1.4488804806303626</v>
      </c>
      <c r="AB49" s="92">
        <f t="shared" si="214"/>
        <v>1.4715301525302447</v>
      </c>
      <c r="AC49" s="92">
        <f t="shared" si="214"/>
        <v>1.494459547304489</v>
      </c>
      <c r="AD49" s="92">
        <f t="shared" si="214"/>
        <v>1.5165217407215801</v>
      </c>
      <c r="AE49" s="92">
        <f t="shared" si="214"/>
        <v>1.5384108657885509</v>
      </c>
      <c r="AF49" s="92">
        <f t="shared" si="214"/>
        <v>1.5603659817613085</v>
      </c>
      <c r="AG49" s="92">
        <f t="shared" si="214"/>
        <v>1.5811393127484632</v>
      </c>
      <c r="AH49" s="92">
        <f t="shared" si="214"/>
        <v>1.6018283819234782</v>
      </c>
      <c r="AI49" s="92">
        <f t="shared" si="214"/>
        <v>1.6220256257411543</v>
      </c>
      <c r="AJ49" s="92">
        <f t="shared" si="214"/>
        <v>1.6413880793214273</v>
      </c>
      <c r="AK49" s="92">
        <f t="shared" si="214"/>
        <v>1.660505369088727</v>
      </c>
      <c r="AL49" s="92">
        <f t="shared" si="214"/>
        <v>1.679331261651688</v>
      </c>
      <c r="AM49" s="92">
        <f t="shared" si="214"/>
        <v>1.8307400614352392</v>
      </c>
      <c r="AN49" s="92">
        <f t="shared" si="214"/>
        <v>2.0453766310052579</v>
      </c>
      <c r="AO49" s="92">
        <f t="shared" si="214"/>
        <v>2.3784626739036332</v>
      </c>
      <c r="AP49" s="92">
        <f t="shared" si="214"/>
        <v>2.3787178512473552</v>
      </c>
      <c r="AQ49" s="92">
        <f t="shared" si="214"/>
        <v>2.3785357826805336</v>
      </c>
      <c r="AR49" s="92">
        <f t="shared" si="214"/>
        <v>2.3779298091309173</v>
      </c>
      <c r="AS49" s="92">
        <f t="shared" si="214"/>
        <v>2.3769126759614383</v>
      </c>
      <c r="AT49" s="92">
        <f t="shared" si="214"/>
        <v>2.3754965558144452</v>
      </c>
      <c r="AU49" s="92">
        <f t="shared" si="214"/>
        <v>2.3736930498486375</v>
      </c>
      <c r="AV49" s="92">
        <f t="shared" si="214"/>
        <v>2.3715132109799182</v>
      </c>
      <c r="AW49" s="92">
        <f t="shared" si="214"/>
        <v>2.3697608626923223</v>
      </c>
      <c r="AX49" s="92">
        <f t="shared" si="214"/>
        <v>2.3676288339276392</v>
      </c>
      <c r="AY49" s="92">
        <f t="shared" si="214"/>
        <v>2.3651276188579855</v>
      </c>
      <c r="AZ49" s="92">
        <f t="shared" si="214"/>
        <v>2.3630613390386959</v>
      </c>
      <c r="BA49" s="92">
        <f t="shared" si="214"/>
        <v>2.3597531825593046</v>
      </c>
      <c r="BB49" s="92">
        <f t="shared" si="214"/>
        <v>2.3561175326194097</v>
      </c>
      <c r="BC49" s="92">
        <f t="shared" si="214"/>
        <v>2.3529651316774225</v>
      </c>
      <c r="BD49" s="92">
        <f t="shared" si="214"/>
        <v>2.3529651316774225</v>
      </c>
      <c r="BE49" s="92">
        <f t="shared" si="214"/>
        <v>2.3529651316774225</v>
      </c>
      <c r="BF49" s="92">
        <f t="shared" si="214"/>
        <v>2.3529651316774225</v>
      </c>
      <c r="BG49" s="92">
        <f t="shared" si="214"/>
        <v>2.3529651316774225</v>
      </c>
      <c r="BH49" s="92">
        <f t="shared" si="214"/>
        <v>2.3529651316774225</v>
      </c>
      <c r="BI49" s="92"/>
    </row>
    <row r="50" spans="1:61" s="95" customFormat="1" x14ac:dyDescent="0.2">
      <c r="A50" s="95" t="s">
        <v>641</v>
      </c>
      <c r="B50" s="161"/>
      <c r="C50" s="160">
        <f xml:space="preserve"> C51 / ( 1233.48 * 0.2607)</f>
        <v>0</v>
      </c>
      <c r="D50" s="160">
        <f t="shared" ref="D50:BH50" si="215" xml:space="preserve"> D51 / ( 1233.48 * 0.2607)</f>
        <v>0</v>
      </c>
      <c r="E50" s="160">
        <f t="shared" si="215"/>
        <v>769.24197162184873</v>
      </c>
      <c r="F50" s="160">
        <f t="shared" si="215"/>
        <v>797.42344820395044</v>
      </c>
      <c r="G50" s="160">
        <f t="shared" si="215"/>
        <v>4116.5506687658162</v>
      </c>
      <c r="H50" s="160">
        <f t="shared" si="215"/>
        <v>7527.8964225800901</v>
      </c>
      <c r="I50" s="160">
        <f t="shared" si="215"/>
        <v>10887.538159292646</v>
      </c>
      <c r="J50" s="160">
        <f t="shared" si="215"/>
        <v>14153.647022498899</v>
      </c>
      <c r="K50" s="160">
        <f t="shared" si="215"/>
        <v>17252.0654498773</v>
      </c>
      <c r="L50" s="160">
        <f t="shared" si="215"/>
        <v>20098.771010383996</v>
      </c>
      <c r="M50" s="160">
        <f t="shared" si="215"/>
        <v>19525.630723368715</v>
      </c>
      <c r="N50" s="160">
        <f t="shared" si="215"/>
        <v>18929.230766273955</v>
      </c>
      <c r="O50" s="160">
        <f t="shared" si="215"/>
        <v>18335.696526488948</v>
      </c>
      <c r="P50" s="160">
        <f t="shared" si="215"/>
        <v>17756.630206369551</v>
      </c>
      <c r="Q50" s="160">
        <f t="shared" si="215"/>
        <v>17170.981241367481</v>
      </c>
      <c r="R50" s="160">
        <f t="shared" si="215"/>
        <v>16595.412719809759</v>
      </c>
      <c r="S50" s="160">
        <f t="shared" si="215"/>
        <v>16018.728671095434</v>
      </c>
      <c r="T50" s="160">
        <f t="shared" si="215"/>
        <v>15478.155917200942</v>
      </c>
      <c r="U50" s="160">
        <f t="shared" si="215"/>
        <v>14937.965078521371</v>
      </c>
      <c r="V50" s="160">
        <f t="shared" si="215"/>
        <v>14421.142904508142</v>
      </c>
      <c r="W50" s="160">
        <f t="shared" si="215"/>
        <v>13915.150546571589</v>
      </c>
      <c r="X50" s="160">
        <f t="shared" si="215"/>
        <v>13440.680410333778</v>
      </c>
      <c r="Y50" s="160">
        <f t="shared" si="215"/>
        <v>12969.05592314895</v>
      </c>
      <c r="Z50" s="160">
        <f t="shared" si="215"/>
        <v>12508.745633188764</v>
      </c>
      <c r="AA50" s="160">
        <f t="shared" si="215"/>
        <v>11853.142846410135</v>
      </c>
      <c r="AB50" s="160">
        <f t="shared" si="215"/>
        <v>11283.784142596587</v>
      </c>
      <c r="AC50" s="160">
        <f t="shared" si="215"/>
        <v>10760.525278320618</v>
      </c>
      <c r="AD50" s="160">
        <f t="shared" si="215"/>
        <v>10300.910955740201</v>
      </c>
      <c r="AE50" s="160">
        <f t="shared" si="215"/>
        <v>9882.1268216501612</v>
      </c>
      <c r="AF50" s="160">
        <f t="shared" si="215"/>
        <v>9494.9455017833097</v>
      </c>
      <c r="AG50" s="160">
        <f t="shared" si="215"/>
        <v>9155.5404034073326</v>
      </c>
      <c r="AH50" s="160">
        <f t="shared" si="215"/>
        <v>8840.8001644452816</v>
      </c>
      <c r="AI50" s="160">
        <f t="shared" si="215"/>
        <v>8553.7383633307454</v>
      </c>
      <c r="AJ50" s="160">
        <f t="shared" si="215"/>
        <v>8295.515039047863</v>
      </c>
      <c r="AK50" s="160">
        <f t="shared" si="215"/>
        <v>8055.4143946136355</v>
      </c>
      <c r="AL50" s="160">
        <f t="shared" si="215"/>
        <v>7832.1796128454444</v>
      </c>
      <c r="AM50" s="160">
        <f t="shared" si="215"/>
        <v>6404.7043171177302</v>
      </c>
      <c r="AN50" s="160">
        <f t="shared" si="215"/>
        <v>5089.6914088853036</v>
      </c>
      <c r="AO50" s="160">
        <f t="shared" si="215"/>
        <v>3859.8393403062032</v>
      </c>
      <c r="AP50" s="160">
        <f t="shared" si="215"/>
        <v>3859.1249493601799</v>
      </c>
      <c r="AQ50" s="160">
        <f t="shared" si="215"/>
        <v>3859.6346389580426</v>
      </c>
      <c r="AR50" s="160">
        <f t="shared" si="215"/>
        <v>3861.3319942855001</v>
      </c>
      <c r="AS50" s="160">
        <f t="shared" si="215"/>
        <v>3864.1843820355202</v>
      </c>
      <c r="AT50" s="160">
        <f t="shared" si="215"/>
        <v>3868.1626903285978</v>
      </c>
      <c r="AU50" s="160">
        <f t="shared" si="215"/>
        <v>3873.24115708614</v>
      </c>
      <c r="AV50" s="160">
        <f t="shared" si="215"/>
        <v>3879.3971616762137</v>
      </c>
      <c r="AW50" s="160">
        <f t="shared" si="215"/>
        <v>3884.3601118949873</v>
      </c>
      <c r="AX50" s="160">
        <f t="shared" si="215"/>
        <v>3890.4155322586867</v>
      </c>
      <c r="AY50" s="160">
        <f t="shared" si="215"/>
        <v>3897.5436320949793</v>
      </c>
      <c r="AZ50" s="160">
        <f t="shared" si="215"/>
        <v>3903.4519617652195</v>
      </c>
      <c r="BA50" s="160">
        <f t="shared" si="215"/>
        <v>3912.94870725178</v>
      </c>
      <c r="BB50" s="160">
        <f t="shared" si="215"/>
        <v>3923.4390308337292</v>
      </c>
      <c r="BC50" s="160">
        <f t="shared" si="215"/>
        <v>3932.5806211135123</v>
      </c>
      <c r="BD50" s="160">
        <f t="shared" si="215"/>
        <v>3932.5806211135123</v>
      </c>
      <c r="BE50" s="160">
        <f t="shared" si="215"/>
        <v>3932.5806211135123</v>
      </c>
      <c r="BF50" s="160">
        <f t="shared" si="215"/>
        <v>3932.5806211135123</v>
      </c>
      <c r="BG50" s="160">
        <f t="shared" si="215"/>
        <v>3932.5806211135123</v>
      </c>
      <c r="BH50" s="160">
        <f t="shared" si="215"/>
        <v>3932.5806211135123</v>
      </c>
      <c r="BI50" s="160"/>
    </row>
    <row r="51" spans="1:61" s="95" customFormat="1" x14ac:dyDescent="0.2">
      <c r="A51" s="95" t="s">
        <v>642</v>
      </c>
      <c r="B51" s="161"/>
      <c r="C51" s="160">
        <f xml:space="preserve"> (C17*'Levellized Salt Sep Plant'!$C$40) * (C47 * 'Levellized Salt Sep Plant'!$C$39 *1233481.8375475/1000/1000/1000)</f>
        <v>0</v>
      </c>
      <c r="D51" s="160">
        <f xml:space="preserve"> (D17*'Levellized Salt Sep Plant'!$C$40) * (D47 * 'Levellized Salt Sep Plant'!$C$39 *1233481.8375475/1000/1000/1000)</f>
        <v>0</v>
      </c>
      <c r="E51" s="160">
        <f xml:space="preserve"> (E17*'Levellized Salt Sep Plant'!$C$40) * (E47 * 'Levellized Salt Sep Plant'!$C$39 *1233481.8375475/1000/1000/1000)</f>
        <v>247363.78387159997</v>
      </c>
      <c r="F51" s="160">
        <f xml:space="preserve"> (F17*'Levellized Salt Sep Plant'!$C$40) * (F47 * 'Levellized Salt Sep Plant'!$C$39 *1233481.8375475/1000/1000/1000)</f>
        <v>256426.05158398172</v>
      </c>
      <c r="G51" s="160">
        <f xml:space="preserve"> (G17*'Levellized Salt Sep Plant'!$C$40) * (G47 * 'Levellized Salt Sep Plant'!$C$39 *1233481.8375475/1000/1000/1000)</f>
        <v>1323751.9369596438</v>
      </c>
      <c r="H51" s="160">
        <f xml:space="preserve"> (H17*'Levellized Salt Sep Plant'!$C$40) * (H47 * 'Levellized Salt Sep Plant'!$C$39 *1233481.8375475/1000/1000/1000)</f>
        <v>2420732.3733997904</v>
      </c>
      <c r="I51" s="160">
        <f xml:space="preserve"> (I17*'Levellized Salt Sep Plant'!$C$40) * (I47 * 'Levellized Salt Sep Plant'!$C$39 *1233481.8375475/1000/1000/1000)</f>
        <v>3501086.4402664234</v>
      </c>
      <c r="J51" s="160">
        <f xml:space="preserve"> (J17*'Levellized Salt Sep Plant'!$C$40) * (J47 * 'Levellized Salt Sep Plant'!$C$39 *1233481.8375475/1000/1000/1000)</f>
        <v>4551363.3059916236</v>
      </c>
      <c r="K51" s="160">
        <f xml:space="preserve"> (K17*'Levellized Salt Sep Plant'!$C$40) * (K47 * 'Levellized Salt Sep Plant'!$C$39 *1233481.8375475/1000/1000/1000)</f>
        <v>5547716.25407359</v>
      </c>
      <c r="L51" s="160">
        <f xml:space="preserve"> (L17*'Levellized Salt Sep Plant'!$C$40) * (L47 * 'Levellized Salt Sep Plant'!$C$39 *1233481.8375475/1000/1000/1000)</f>
        <v>6463126.3395771198</v>
      </c>
      <c r="M51" s="160">
        <f xml:space="preserve"> (M17*'Levellized Salt Sep Plant'!$C$40) * (M47 * 'Levellized Salt Sep Plant'!$C$39 *1233481.8375475/1000/1000/1000)</f>
        <v>6278822.6285010818</v>
      </c>
      <c r="N51" s="160">
        <f xml:space="preserve"> (N17*'Levellized Salt Sep Plant'!$C$40) * (N47 * 'Levellized Salt Sep Plant'!$C$39 *1233481.8375475/1000/1000/1000)</f>
        <v>6087039.346347644</v>
      </c>
      <c r="O51" s="160">
        <f xml:space="preserve"> (O17*'Levellized Salt Sep Plant'!$C$40) * (O47 * 'Levellized Salt Sep Plant'!$C$39 *1233481.8375475/1000/1000/1000)</f>
        <v>5896177.5878543789</v>
      </c>
      <c r="P51" s="160">
        <f xml:space="preserve"> (P17*'Levellized Salt Sep Plant'!$C$40) * (P47 * 'Levellized Salt Sep Plant'!$C$39 *1233481.8375475/1000/1000/1000)</f>
        <v>5709968.2527665729</v>
      </c>
      <c r="Q51" s="160">
        <f xml:space="preserve"> (Q17*'Levellized Salt Sep Plant'!$C$40) * (Q47 * 'Levellized Salt Sep Plant'!$C$39 *1233481.8375475/1000/1000/1000)</f>
        <v>5521642.1481756316</v>
      </c>
      <c r="R51" s="160">
        <f xml:space="preserve"> (R17*'Levellized Salt Sep Plant'!$C$40) * (R47 * 'Levellized Salt Sep Plant'!$C$39 *1233481.8375475/1000/1000/1000)</f>
        <v>5336557.594001187</v>
      </c>
      <c r="S51" s="160">
        <f xml:space="preserve"> (S17*'Levellized Salt Sep Plant'!$C$40) * (S47 * 'Levellized Salt Sep Plant'!$C$39 *1233481.8375475/1000/1000/1000)</f>
        <v>5151114.3217267832</v>
      </c>
      <c r="T51" s="160">
        <f xml:space="preserve"> (T17*'Levellized Salt Sep Plant'!$C$40) * (T47 * 'Levellized Salt Sep Plant'!$C$39 *1233481.8375475/1000/1000/1000)</f>
        <v>4977283.2948272694</v>
      </c>
      <c r="U51" s="160">
        <f xml:space="preserve"> (U17*'Levellized Salt Sep Plant'!$C$40) * (U47 * 'Levellized Salt Sep Plant'!$C$39 *1233481.8375475/1000/1000/1000)</f>
        <v>4803575.0797297191</v>
      </c>
      <c r="V51" s="160">
        <f xml:space="preserve"> (V17*'Levellized Salt Sep Plant'!$C$40) * (V47 * 'Levellized Salt Sep Plant'!$C$39 *1233481.8375475/1000/1000/1000)</f>
        <v>4637381.4849065999</v>
      </c>
      <c r="W51" s="160">
        <f xml:space="preserve"> (W17*'Levellized Salt Sep Plant'!$C$40) * (W47 * 'Levellized Salt Sep Plant'!$C$39 *1233481.8375475/1000/1000/1000)</f>
        <v>4474670.4149354622</v>
      </c>
      <c r="X51" s="160">
        <f xml:space="preserve"> (X17*'Levellized Salt Sep Plant'!$C$40) * (X47 * 'Levellized Salt Sep Plant'!$C$39 *1233481.8375475/1000/1000/1000)</f>
        <v>4322095.8901907895</v>
      </c>
      <c r="Y51" s="160">
        <f xml:space="preserve"> (Y17*'Levellized Salt Sep Plant'!$C$40) * (Y47 * 'Levellized Salt Sep Plant'!$C$39 *1233481.8375475/1000/1000/1000)</f>
        <v>4170436.4357923595</v>
      </c>
      <c r="Z51" s="160">
        <f xml:space="preserve"> (Z17*'Levellized Salt Sep Plant'!$C$40) * (Z47 * 'Levellized Salt Sep Plant'!$C$39 *1233481.8375475/1000/1000/1000)</f>
        <v>4022415.2678372143</v>
      </c>
      <c r="AA51" s="160">
        <f xml:space="preserve"> (AA17*'Levellized Salt Sep Plant'!$C$40) * (AA47 * 'Levellized Salt Sep Plant'!$C$39 *1233481.8375475/1000/1000/1000)</f>
        <v>3811594.2361761262</v>
      </c>
      <c r="AB51" s="160">
        <f xml:space="preserve"> (AB17*'Levellized Salt Sep Plant'!$C$40) * (AB47 * 'Levellized Salt Sep Plant'!$C$39 *1233481.8375475/1000/1000/1000)</f>
        <v>3628506.5621395572</v>
      </c>
      <c r="AC51" s="160">
        <f xml:space="preserve"> (AC17*'Levellized Salt Sep Plant'!$C$40) * (AC47 * 'Levellized Salt Sep Plant'!$C$39 *1233481.8375475/1000/1000/1000)</f>
        <v>3460243.1321829702</v>
      </c>
      <c r="AD51" s="160">
        <f xml:space="preserve"> (AD17*'Levellized Salt Sep Plant'!$C$40) * (AD47 * 'Levellized Salt Sep Plant'!$C$39 *1233481.8375475/1000/1000/1000)</f>
        <v>3312445.7652304508</v>
      </c>
      <c r="AE51" s="160">
        <f xml:space="preserve"> (AE17*'Levellized Salt Sep Plant'!$C$40) * (AE47 * 'Levellized Salt Sep Plant'!$C$39 *1233481.8375475/1000/1000/1000)</f>
        <v>3177778.0899663288</v>
      </c>
      <c r="AF51" s="160">
        <f xml:space="preserve"> (AF17*'Levellized Salt Sep Plant'!$C$40) * (AF47 * 'Levellized Salt Sep Plant'!$C$39 *1233481.8375475/1000/1000/1000)</f>
        <v>3053272.8759245938</v>
      </c>
      <c r="AG51" s="160">
        <f xml:space="preserve"> (AG17*'Levellized Salt Sep Plant'!$C$40) * (AG47 * 'Levellized Salt Sep Plant'!$C$39 *1233481.8375475/1000/1000/1000)</f>
        <v>2944130.9771504244</v>
      </c>
      <c r="AH51" s="160">
        <f xml:space="preserve"> (AH17*'Levellized Salt Sep Plant'!$C$40) * (AH47 * 'Levellized Salt Sep Plant'!$C$39 *1233481.8375475/1000/1000/1000)</f>
        <v>2842920.5137091791</v>
      </c>
      <c r="AI51" s="160">
        <f xml:space="preserve"> (AI17*'Levellized Salt Sep Plant'!$C$40) * (AI47 * 'Levellized Salt Sep Plant'!$C$39 *1233481.8375475/1000/1000/1000)</f>
        <v>2750610.5567017952</v>
      </c>
      <c r="AJ51" s="160">
        <f xml:space="preserve"> (AJ17*'Levellized Salt Sep Plant'!$C$40) * (AJ47 * 'Levellized Salt Sep Plant'!$C$39 *1233481.8375475/1000/1000/1000)</f>
        <v>2667574.1378180925</v>
      </c>
      <c r="AK51" s="160">
        <f xml:space="preserve"> (AK17*'Levellized Salt Sep Plant'!$C$40) * (AK47 * 'Levellized Salt Sep Plant'!$C$39 *1233481.8375475/1000/1000/1000)</f>
        <v>2590365.3971249149</v>
      </c>
      <c r="AL51" s="160">
        <f xml:space="preserve"> (AL17*'Levellized Salt Sep Plant'!$C$40) * (AL47 * 'Levellized Salt Sep Plant'!$C$39 *1233481.8375475/1000/1000/1000)</f>
        <v>2518580.1821378726</v>
      </c>
      <c r="AM51" s="160">
        <f xml:space="preserve"> (AM17*'Levellized Salt Sep Plant'!$C$40) * (AM47 * 'Levellized Salt Sep Plant'!$C$39 *1233481.8375475/1000/1000/1000)</f>
        <v>2059549.4693571331</v>
      </c>
      <c r="AN51" s="160">
        <f xml:space="preserve"> (AN17*'Levellized Salt Sep Plant'!$C$40) * (AN47 * 'Levellized Salt Sep Plant'!$C$39 *1233481.8375475/1000/1000/1000)</f>
        <v>1636683.088139602</v>
      </c>
      <c r="AO51" s="160">
        <f xml:space="preserve"> (AO17*'Levellized Salt Sep Plant'!$C$40) * (AO47 * 'Levellized Salt Sep Plant'!$C$39 *1233481.8375475/1000/1000/1000)</f>
        <v>1241201.7279056695</v>
      </c>
      <c r="AP51" s="160">
        <f xml:space="preserve"> (AP17*'Levellized Salt Sep Plant'!$C$40) * (AP47 * 'Levellized Salt Sep Plant'!$C$39 *1233481.8375475/1000/1000/1000)</f>
        <v>1240972.0024693424</v>
      </c>
      <c r="AQ51" s="160">
        <f xml:space="preserve"> (AQ17*'Levellized Salt Sep Plant'!$C$40) * (AQ47 * 'Levellized Salt Sep Plant'!$C$39 *1233481.8375475/1000/1000/1000)</f>
        <v>1241135.9024542347</v>
      </c>
      <c r="AR51" s="160">
        <f xml:space="preserve"> (AR17*'Levellized Salt Sep Plant'!$C$40) * (AR47 * 'Levellized Salt Sep Plant'!$C$39 *1233481.8375475/1000/1000/1000)</f>
        <v>1241681.7180127504</v>
      </c>
      <c r="AS51" s="160">
        <f xml:space="preserve"> (AS17*'Levellized Salt Sep Plant'!$C$40) * (AS47 * 'Levellized Salt Sep Plant'!$C$39 *1233481.8375475/1000/1000/1000)</f>
        <v>1242598.9553099123</v>
      </c>
      <c r="AT51" s="160">
        <f xml:space="preserve"> (AT17*'Levellized Salt Sep Plant'!$C$40) * (AT47 * 'Levellized Salt Sep Plant'!$C$39 *1233481.8375475/1000/1000/1000)</f>
        <v>1243878.2528899815</v>
      </c>
      <c r="AU51" s="160">
        <f xml:space="preserve"> (AU17*'Levellized Salt Sep Plant'!$C$40) * (AU47 * 'Levellized Salt Sep Plant'!$C$39 *1233481.8375475/1000/1000/1000)</f>
        <v>1245511.3264867889</v>
      </c>
      <c r="AV51" s="160">
        <f xml:space="preserve"> (AV17*'Levellized Salt Sep Plant'!$C$40) * (AV47 * 'Levellized Salt Sep Plant'!$C$39 *1233481.8375475/1000/1000/1000)</f>
        <v>1247490.902023627</v>
      </c>
      <c r="AW51" s="160">
        <f xml:space="preserve"> (AW17*'Levellized Salt Sep Plant'!$C$40) * (AW47 * 'Levellized Salt Sep Plant'!$C$39 *1233481.8375475/1000/1000/1000)</f>
        <v>1249086.8291708338</v>
      </c>
      <c r="AX51" s="160">
        <f xml:space="preserve"> (AX17*'Levellized Salt Sep Plant'!$C$40) * (AX47 * 'Levellized Salt Sep Plant'!$C$39 *1233481.8375475/1000/1000/1000)</f>
        <v>1251034.0600154269</v>
      </c>
      <c r="AY51" s="160">
        <f xml:space="preserve"> (AY17*'Levellized Salt Sep Plant'!$C$40) * (AY47 * 'Levellized Salt Sep Plant'!$C$39 *1233481.8375475/1000/1000/1000)</f>
        <v>1253326.2305058155</v>
      </c>
      <c r="AZ51" s="160">
        <f xml:space="preserve"> (AZ17*'Levellized Salt Sep Plant'!$C$40) * (AZ47 * 'Levellized Salt Sep Plant'!$C$39 *1233481.8375475/1000/1000/1000)</f>
        <v>1255226.1616555811</v>
      </c>
      <c r="BA51" s="160">
        <f xml:space="preserve"> (BA17*'Levellized Salt Sep Plant'!$C$40) * (BA47 * 'Levellized Salt Sep Plant'!$C$39 *1233481.8375475/1000/1000/1000)</f>
        <v>1258280.0133494353</v>
      </c>
      <c r="BB51" s="160">
        <f xml:space="preserve"> (BB17*'Levellized Salt Sep Plant'!$C$40) * (BB47 * 'Levellized Salt Sep Plant'!$C$39 *1233481.8375475/1000/1000/1000)</f>
        <v>1261653.3681987519</v>
      </c>
      <c r="BC51" s="160">
        <f xml:space="preserve"> (BC17*'Levellized Salt Sep Plant'!$C$40) * (BC47 * 'Levellized Salt Sep Plant'!$C$39 *1233481.8375475/1000/1000/1000)</f>
        <v>1264593.0132592565</v>
      </c>
      <c r="BD51" s="160">
        <f xml:space="preserve"> (BD17*'Levellized Salt Sep Plant'!$C$40) * (BD47 * 'Levellized Salt Sep Plant'!$C$39 *1233481.8375475/1000/1000/1000)</f>
        <v>1264593.0132592565</v>
      </c>
      <c r="BE51" s="160">
        <f xml:space="preserve"> (BE17*'Levellized Salt Sep Plant'!$C$40) * (BE47 * 'Levellized Salt Sep Plant'!$C$39 *1233481.8375475/1000/1000/1000)</f>
        <v>1264593.0132592565</v>
      </c>
      <c r="BF51" s="160">
        <f xml:space="preserve"> (BF17*'Levellized Salt Sep Plant'!$C$40) * (BF47 * 'Levellized Salt Sep Plant'!$C$39 *1233481.8375475/1000/1000/1000)</f>
        <v>1264593.0132592565</v>
      </c>
      <c r="BG51" s="160">
        <f xml:space="preserve"> (BG17*'Levellized Salt Sep Plant'!$C$40) * (BG47 * 'Levellized Salt Sep Plant'!$C$39 *1233481.8375475/1000/1000/1000)</f>
        <v>1264593.0132592565</v>
      </c>
      <c r="BH51" s="160">
        <f xml:space="preserve"> (BH17*'Levellized Salt Sep Plant'!$C$40) * (BH47 * 'Levellized Salt Sep Plant'!$C$39 *1233481.8375475/1000/1000/1000)</f>
        <v>1264593.0132592565</v>
      </c>
      <c r="BI51" s="160"/>
    </row>
    <row r="52" spans="1:61" x14ac:dyDescent="0.2">
      <c r="B52" s="31"/>
    </row>
    <row r="53" spans="1:61" x14ac:dyDescent="0.2">
      <c r="A53" t="s">
        <v>553</v>
      </c>
      <c r="B53" s="31"/>
      <c r="C53" s="94">
        <f t="shared" ref="C53:AL53" si="216" xml:space="preserve"> D54</f>
        <v>0</v>
      </c>
      <c r="D53" s="94">
        <f t="shared" si="216"/>
        <v>0</v>
      </c>
      <c r="E53" s="94">
        <f t="shared" si="216"/>
        <v>1</v>
      </c>
      <c r="F53" s="94">
        <f t="shared" si="216"/>
        <v>1</v>
      </c>
      <c r="G53" s="94">
        <f t="shared" si="216"/>
        <v>1</v>
      </c>
      <c r="H53" s="94">
        <f t="shared" si="216"/>
        <v>1</v>
      </c>
      <c r="I53" s="94">
        <f t="shared" si="216"/>
        <v>1</v>
      </c>
      <c r="J53" s="94">
        <f t="shared" si="216"/>
        <v>1</v>
      </c>
      <c r="K53" s="94">
        <f t="shared" si="216"/>
        <v>0</v>
      </c>
      <c r="L53" s="94">
        <f t="shared" si="216"/>
        <v>0</v>
      </c>
      <c r="M53" s="94">
        <f t="shared" si="216"/>
        <v>0</v>
      </c>
      <c r="N53" s="94">
        <f t="shared" si="216"/>
        <v>0</v>
      </c>
      <c r="O53" s="94">
        <f t="shared" si="216"/>
        <v>0</v>
      </c>
      <c r="P53" s="94">
        <f t="shared" si="216"/>
        <v>0</v>
      </c>
      <c r="Q53" s="94">
        <f t="shared" si="216"/>
        <v>0</v>
      </c>
      <c r="R53" s="94">
        <f t="shared" si="216"/>
        <v>0</v>
      </c>
      <c r="S53" s="94">
        <f t="shared" si="216"/>
        <v>0</v>
      </c>
      <c r="T53" s="94">
        <f t="shared" si="216"/>
        <v>0</v>
      </c>
      <c r="U53" s="94">
        <f t="shared" si="216"/>
        <v>0</v>
      </c>
      <c r="V53" s="94">
        <f t="shared" si="216"/>
        <v>0</v>
      </c>
      <c r="W53" s="94">
        <f t="shared" si="216"/>
        <v>0</v>
      </c>
      <c r="X53" s="94">
        <f t="shared" si="216"/>
        <v>0</v>
      </c>
      <c r="Y53" s="94">
        <f t="shared" si="216"/>
        <v>0</v>
      </c>
      <c r="Z53" s="94">
        <f t="shared" si="216"/>
        <v>0</v>
      </c>
      <c r="AA53" s="94">
        <f t="shared" si="216"/>
        <v>0</v>
      </c>
      <c r="AB53" s="94">
        <f t="shared" si="216"/>
        <v>0</v>
      </c>
      <c r="AC53" s="94">
        <f t="shared" si="216"/>
        <v>0</v>
      </c>
      <c r="AD53" s="94">
        <f t="shared" si="216"/>
        <v>0</v>
      </c>
      <c r="AE53" s="94">
        <f t="shared" si="216"/>
        <v>0</v>
      </c>
      <c r="AF53" s="94">
        <f t="shared" si="216"/>
        <v>0</v>
      </c>
      <c r="AG53" s="94">
        <f t="shared" si="216"/>
        <v>0</v>
      </c>
      <c r="AH53" s="94">
        <f t="shared" si="216"/>
        <v>0</v>
      </c>
      <c r="AI53" s="94">
        <f t="shared" si="216"/>
        <v>0</v>
      </c>
      <c r="AJ53" s="94">
        <f t="shared" si="216"/>
        <v>0</v>
      </c>
      <c r="AK53" s="94">
        <f t="shared" si="216"/>
        <v>1</v>
      </c>
      <c r="AL53" s="94">
        <f t="shared" si="216"/>
        <v>1</v>
      </c>
      <c r="AM53" s="94">
        <f t="shared" ref="AM53:BH53" si="217" xml:space="preserve"> BI54</f>
        <v>0</v>
      </c>
      <c r="AN53" s="94">
        <f t="shared" si="217"/>
        <v>0</v>
      </c>
      <c r="AO53" s="94">
        <f t="shared" si="217"/>
        <v>0</v>
      </c>
      <c r="AP53" s="94">
        <f t="shared" si="217"/>
        <v>0</v>
      </c>
      <c r="AQ53" s="94">
        <f t="shared" si="217"/>
        <v>0</v>
      </c>
      <c r="AR53" s="94">
        <f t="shared" si="217"/>
        <v>0</v>
      </c>
      <c r="AS53" s="94">
        <f t="shared" si="217"/>
        <v>0</v>
      </c>
      <c r="AT53" s="94">
        <f t="shared" si="217"/>
        <v>0</v>
      </c>
      <c r="AU53" s="94">
        <f t="shared" si="217"/>
        <v>0</v>
      </c>
      <c r="AV53" s="94">
        <f t="shared" si="217"/>
        <v>0</v>
      </c>
      <c r="AW53" s="94">
        <f t="shared" si="217"/>
        <v>0</v>
      </c>
      <c r="AX53" s="94">
        <f t="shared" si="217"/>
        <v>0</v>
      </c>
      <c r="AY53" s="94">
        <f t="shared" si="217"/>
        <v>0</v>
      </c>
      <c r="AZ53" s="94">
        <f t="shared" si="217"/>
        <v>0</v>
      </c>
      <c r="BA53" s="94">
        <f t="shared" si="217"/>
        <v>0</v>
      </c>
      <c r="BB53" s="94">
        <f t="shared" si="217"/>
        <v>0</v>
      </c>
      <c r="BC53" s="94">
        <f t="shared" si="217"/>
        <v>0</v>
      </c>
      <c r="BD53" s="94">
        <f t="shared" si="217"/>
        <v>0</v>
      </c>
      <c r="BE53" s="94">
        <f t="shared" si="217"/>
        <v>0</v>
      </c>
      <c r="BF53" s="94">
        <f t="shared" si="217"/>
        <v>0</v>
      </c>
      <c r="BG53" s="94">
        <f t="shared" si="217"/>
        <v>0</v>
      </c>
      <c r="BH53" s="94">
        <f t="shared" si="217"/>
        <v>0</v>
      </c>
    </row>
    <row r="54" spans="1:61" x14ac:dyDescent="0.2">
      <c r="A54" t="s">
        <v>554</v>
      </c>
      <c r="B54" s="21">
        <v>3</v>
      </c>
      <c r="C54" s="94">
        <f xml:space="preserve"> IF(D55-C55 &gt; 0, D55-C55,IF(D55-C55 &lt;0, IF(D55&gt;$B54, 1, $B54-SUM(A54:B54)), 0))</f>
        <v>0</v>
      </c>
      <c r="D54" s="94">
        <f t="shared" ref="D54:BH54" si="218" xml:space="preserve"> IF(E55-D55 &gt; 0, E55-D55,IF(E55-D55 &lt;0, IF(E55&gt;$B54, 1, $B54-SUM(B54:C54)), 0))</f>
        <v>0</v>
      </c>
      <c r="E54" s="94">
        <f t="shared" si="218"/>
        <v>0</v>
      </c>
      <c r="F54" s="94">
        <f t="shared" si="218"/>
        <v>1</v>
      </c>
      <c r="G54" s="94">
        <f t="shared" si="218"/>
        <v>1</v>
      </c>
      <c r="H54" s="94">
        <f t="shared" si="218"/>
        <v>1</v>
      </c>
      <c r="I54" s="94">
        <f t="shared" si="218"/>
        <v>1</v>
      </c>
      <c r="J54" s="94">
        <f t="shared" si="218"/>
        <v>1</v>
      </c>
      <c r="K54" s="94">
        <f t="shared" si="218"/>
        <v>1</v>
      </c>
      <c r="L54" s="94">
        <f t="shared" si="218"/>
        <v>0</v>
      </c>
      <c r="M54" s="94">
        <f t="shared" si="218"/>
        <v>0</v>
      </c>
      <c r="N54" s="94">
        <f t="shared" si="218"/>
        <v>0</v>
      </c>
      <c r="O54" s="94">
        <f t="shared" si="218"/>
        <v>0</v>
      </c>
      <c r="P54" s="94">
        <f t="shared" si="218"/>
        <v>0</v>
      </c>
      <c r="Q54" s="94">
        <f t="shared" si="218"/>
        <v>0</v>
      </c>
      <c r="R54" s="94">
        <f t="shared" si="218"/>
        <v>0</v>
      </c>
      <c r="S54" s="94">
        <f t="shared" si="218"/>
        <v>0</v>
      </c>
      <c r="T54" s="94">
        <f t="shared" si="218"/>
        <v>0</v>
      </c>
      <c r="U54" s="94">
        <f t="shared" si="218"/>
        <v>0</v>
      </c>
      <c r="V54" s="94">
        <f t="shared" si="218"/>
        <v>0</v>
      </c>
      <c r="W54" s="94">
        <f t="shared" si="218"/>
        <v>0</v>
      </c>
      <c r="X54" s="94">
        <f t="shared" si="218"/>
        <v>0</v>
      </c>
      <c r="Y54" s="94">
        <f t="shared" si="218"/>
        <v>0</v>
      </c>
      <c r="Z54" s="94">
        <f t="shared" si="218"/>
        <v>0</v>
      </c>
      <c r="AA54" s="94">
        <f t="shared" si="218"/>
        <v>0</v>
      </c>
      <c r="AB54" s="94">
        <f t="shared" si="218"/>
        <v>0</v>
      </c>
      <c r="AC54" s="94">
        <f t="shared" si="218"/>
        <v>0</v>
      </c>
      <c r="AD54" s="94">
        <f t="shared" si="218"/>
        <v>0</v>
      </c>
      <c r="AE54" s="94">
        <f t="shared" si="218"/>
        <v>0</v>
      </c>
      <c r="AF54" s="94">
        <f t="shared" si="218"/>
        <v>0</v>
      </c>
      <c r="AG54" s="94">
        <f t="shared" si="218"/>
        <v>0</v>
      </c>
      <c r="AH54" s="94">
        <f t="shared" si="218"/>
        <v>0</v>
      </c>
      <c r="AI54" s="94">
        <f t="shared" si="218"/>
        <v>0</v>
      </c>
      <c r="AJ54" s="94">
        <f t="shared" si="218"/>
        <v>0</v>
      </c>
      <c r="AK54" s="94">
        <f t="shared" si="218"/>
        <v>0</v>
      </c>
      <c r="AL54" s="94">
        <f t="shared" si="218"/>
        <v>1</v>
      </c>
      <c r="AM54" s="94">
        <f t="shared" si="218"/>
        <v>1</v>
      </c>
      <c r="AN54" s="94">
        <f t="shared" si="218"/>
        <v>1</v>
      </c>
      <c r="AO54" s="94">
        <f t="shared" si="218"/>
        <v>0</v>
      </c>
      <c r="AP54" s="94">
        <f t="shared" si="218"/>
        <v>0</v>
      </c>
      <c r="AQ54" s="94">
        <f t="shared" si="218"/>
        <v>0</v>
      </c>
      <c r="AR54" s="94">
        <f t="shared" si="218"/>
        <v>0</v>
      </c>
      <c r="AS54" s="94">
        <f t="shared" si="218"/>
        <v>0</v>
      </c>
      <c r="AT54" s="94">
        <f t="shared" si="218"/>
        <v>0</v>
      </c>
      <c r="AU54" s="94">
        <f t="shared" si="218"/>
        <v>0</v>
      </c>
      <c r="AV54" s="94">
        <f t="shared" si="218"/>
        <v>0</v>
      </c>
      <c r="AW54" s="94">
        <f t="shared" si="218"/>
        <v>0</v>
      </c>
      <c r="AX54" s="94">
        <f t="shared" si="218"/>
        <v>0</v>
      </c>
      <c r="AY54" s="94">
        <f t="shared" si="218"/>
        <v>0</v>
      </c>
      <c r="AZ54" s="94">
        <f t="shared" si="218"/>
        <v>0</v>
      </c>
      <c r="BA54" s="94">
        <f t="shared" si="218"/>
        <v>0</v>
      </c>
      <c r="BB54" s="94">
        <f t="shared" si="218"/>
        <v>0</v>
      </c>
      <c r="BC54" s="94">
        <f t="shared" si="218"/>
        <v>0</v>
      </c>
      <c r="BD54" s="94">
        <f t="shared" si="218"/>
        <v>0</v>
      </c>
      <c r="BE54" s="94">
        <f t="shared" si="218"/>
        <v>0</v>
      </c>
      <c r="BF54" s="94">
        <f t="shared" si="218"/>
        <v>0</v>
      </c>
      <c r="BG54" s="94">
        <f t="shared" si="218"/>
        <v>0</v>
      </c>
      <c r="BH54" s="94">
        <f t="shared" si="218"/>
        <v>0</v>
      </c>
    </row>
    <row r="55" spans="1:61" x14ac:dyDescent="0.2">
      <c r="A55" t="s">
        <v>644</v>
      </c>
      <c r="B55" s="21">
        <v>6</v>
      </c>
      <c r="C55">
        <f>IF(C$1&gt;$C$1+35,IF(B55-1&gt;$B54,B55-1,$B54),IF(C$1&gt;=$C$1+4,IF(1*(C$1-$C$1-3)&gt;$B55,$B55,1*(C$1-$C$1-3)),0))</f>
        <v>0</v>
      </c>
      <c r="D55">
        <f t="shared" ref="D55:BH55" si="219">IF(D$1&gt;$C$1+35,IF(C55-1&gt;$B54,C55-1,$B54),IF(D$1&gt;=$C$1+4,IF(1*(D$1-$C$1-3)&gt;$B55,$B55,1*(D$1-$C$1-3)),0))</f>
        <v>0</v>
      </c>
      <c r="E55">
        <f t="shared" si="219"/>
        <v>0</v>
      </c>
      <c r="F55">
        <f t="shared" si="219"/>
        <v>0</v>
      </c>
      <c r="G55">
        <f t="shared" si="219"/>
        <v>1</v>
      </c>
      <c r="H55">
        <f t="shared" si="219"/>
        <v>2</v>
      </c>
      <c r="I55">
        <f t="shared" si="219"/>
        <v>3</v>
      </c>
      <c r="J55">
        <f t="shared" si="219"/>
        <v>4</v>
      </c>
      <c r="K55">
        <f t="shared" si="219"/>
        <v>5</v>
      </c>
      <c r="L55">
        <f t="shared" si="219"/>
        <v>6</v>
      </c>
      <c r="M55">
        <f t="shared" si="219"/>
        <v>6</v>
      </c>
      <c r="N55">
        <f t="shared" si="219"/>
        <v>6</v>
      </c>
      <c r="O55">
        <f t="shared" si="219"/>
        <v>6</v>
      </c>
      <c r="P55">
        <f t="shared" si="219"/>
        <v>6</v>
      </c>
      <c r="Q55">
        <f t="shared" si="219"/>
        <v>6</v>
      </c>
      <c r="R55">
        <f t="shared" si="219"/>
        <v>6</v>
      </c>
      <c r="S55">
        <f t="shared" si="219"/>
        <v>6</v>
      </c>
      <c r="T55">
        <f t="shared" si="219"/>
        <v>6</v>
      </c>
      <c r="U55">
        <f t="shared" si="219"/>
        <v>6</v>
      </c>
      <c r="V55">
        <f t="shared" si="219"/>
        <v>6</v>
      </c>
      <c r="W55">
        <f t="shared" si="219"/>
        <v>6</v>
      </c>
      <c r="X55">
        <f t="shared" si="219"/>
        <v>6</v>
      </c>
      <c r="Y55">
        <f t="shared" si="219"/>
        <v>6</v>
      </c>
      <c r="Z55">
        <f t="shared" si="219"/>
        <v>6</v>
      </c>
      <c r="AA55">
        <f t="shared" si="219"/>
        <v>6</v>
      </c>
      <c r="AB55">
        <f t="shared" si="219"/>
        <v>6</v>
      </c>
      <c r="AC55">
        <f t="shared" si="219"/>
        <v>6</v>
      </c>
      <c r="AD55">
        <f t="shared" si="219"/>
        <v>6</v>
      </c>
      <c r="AE55">
        <f t="shared" si="219"/>
        <v>6</v>
      </c>
      <c r="AF55">
        <f t="shared" si="219"/>
        <v>6</v>
      </c>
      <c r="AG55">
        <f t="shared" si="219"/>
        <v>6</v>
      </c>
      <c r="AH55">
        <f t="shared" si="219"/>
        <v>6</v>
      </c>
      <c r="AI55">
        <f t="shared" si="219"/>
        <v>6</v>
      </c>
      <c r="AJ55">
        <f t="shared" si="219"/>
        <v>6</v>
      </c>
      <c r="AK55">
        <f t="shared" si="219"/>
        <v>6</v>
      </c>
      <c r="AL55">
        <f t="shared" si="219"/>
        <v>6</v>
      </c>
      <c r="AM55">
        <f t="shared" si="219"/>
        <v>5</v>
      </c>
      <c r="AN55">
        <f t="shared" si="219"/>
        <v>4</v>
      </c>
      <c r="AO55">
        <f t="shared" si="219"/>
        <v>3</v>
      </c>
      <c r="AP55">
        <f t="shared" si="219"/>
        <v>3</v>
      </c>
      <c r="AQ55">
        <f t="shared" si="219"/>
        <v>3</v>
      </c>
      <c r="AR55">
        <f t="shared" si="219"/>
        <v>3</v>
      </c>
      <c r="AS55">
        <f t="shared" si="219"/>
        <v>3</v>
      </c>
      <c r="AT55">
        <f t="shared" si="219"/>
        <v>3</v>
      </c>
      <c r="AU55">
        <f t="shared" si="219"/>
        <v>3</v>
      </c>
      <c r="AV55">
        <f t="shared" si="219"/>
        <v>3</v>
      </c>
      <c r="AW55">
        <f t="shared" si="219"/>
        <v>3</v>
      </c>
      <c r="AX55">
        <f t="shared" si="219"/>
        <v>3</v>
      </c>
      <c r="AY55">
        <f t="shared" si="219"/>
        <v>3</v>
      </c>
      <c r="AZ55">
        <f t="shared" si="219"/>
        <v>3</v>
      </c>
      <c r="BA55">
        <f t="shared" si="219"/>
        <v>3</v>
      </c>
      <c r="BB55">
        <f t="shared" si="219"/>
        <v>3</v>
      </c>
      <c r="BC55">
        <f t="shared" si="219"/>
        <v>3</v>
      </c>
      <c r="BD55">
        <f t="shared" si="219"/>
        <v>3</v>
      </c>
      <c r="BE55">
        <f t="shared" si="219"/>
        <v>3</v>
      </c>
      <c r="BF55">
        <f t="shared" si="219"/>
        <v>3</v>
      </c>
      <c r="BG55">
        <f t="shared" si="219"/>
        <v>3</v>
      </c>
      <c r="BH55">
        <f t="shared" si="219"/>
        <v>3</v>
      </c>
      <c r="BI55">
        <f xml:space="preserve"> BH55</f>
        <v>3</v>
      </c>
    </row>
    <row r="56" spans="1:61" s="74" customFormat="1" x14ac:dyDescent="0.2">
      <c r="A56" s="74" t="s">
        <v>556</v>
      </c>
      <c r="B56" s="121"/>
      <c r="C56" s="75">
        <f xml:space="preserve"> (C54+D54)/2 * '20MGD 60 Effect Levellized VTE'!$B$3</f>
        <v>0</v>
      </c>
      <c r="D56" s="75">
        <f xml:space="preserve"> (D54+E54)/2 * '20MGD 60 Effect Levellized VTE'!$B$3</f>
        <v>0</v>
      </c>
      <c r="E56" s="75">
        <f xml:space="preserve"> (E54+F54)/2 * '20MGD 60 Effect Levellized VTE'!$B$3</f>
        <v>25578205.29037049</v>
      </c>
      <c r="F56" s="75">
        <f xml:space="preserve"> (F54+G54)/2 * '20MGD 60 Effect Levellized VTE'!$B$3</f>
        <v>51156410.580740981</v>
      </c>
      <c r="G56" s="75">
        <f xml:space="preserve"> (G54+H54)/2 * '20MGD 60 Effect Levellized VTE'!$B$3</f>
        <v>51156410.580740981</v>
      </c>
      <c r="H56" s="75">
        <f xml:space="preserve"> (H54+I54)/2 * '20MGD 60 Effect Levellized VTE'!$B$3</f>
        <v>51156410.580740981</v>
      </c>
      <c r="I56" s="75">
        <f xml:space="preserve"> (I54+J54)/2 * '20MGD 60 Effect Levellized VTE'!$B$3</f>
        <v>51156410.580740981</v>
      </c>
      <c r="J56" s="75">
        <f xml:space="preserve"> (J54+K54)/2 * '20MGD 60 Effect Levellized VTE'!$B$3</f>
        <v>51156410.580740981</v>
      </c>
      <c r="K56" s="75">
        <f xml:space="preserve"> (K54+L54)/2 * '20MGD 60 Effect Levellized VTE'!$B$3</f>
        <v>25578205.29037049</v>
      </c>
      <c r="L56" s="75">
        <f xml:space="preserve"> (L54+M54)/2 * '20MGD 60 Effect Levellized VTE'!$B$3</f>
        <v>0</v>
      </c>
      <c r="M56" s="75">
        <f xml:space="preserve"> (M54+N54)/2 * '20MGD 60 Effect Levellized VTE'!$B$3</f>
        <v>0</v>
      </c>
      <c r="N56" s="75">
        <f xml:space="preserve"> (N54+O54)/2 * '20MGD 60 Effect Levellized VTE'!$B$3</f>
        <v>0</v>
      </c>
      <c r="O56" s="75">
        <f xml:space="preserve"> (O54+P54)/2 * '20MGD 60 Effect Levellized VTE'!$B$3</f>
        <v>0</v>
      </c>
      <c r="P56" s="75">
        <f xml:space="preserve"> (P54+Q54)/2 * '20MGD 60 Effect Levellized VTE'!$B$3</f>
        <v>0</v>
      </c>
      <c r="Q56" s="75">
        <f xml:space="preserve"> (Q54+R54)/2 * '20MGD 60 Effect Levellized VTE'!$B$3</f>
        <v>0</v>
      </c>
      <c r="R56" s="75">
        <f xml:space="preserve"> (R54+S54)/2 * '20MGD 60 Effect Levellized VTE'!$B$3</f>
        <v>0</v>
      </c>
      <c r="S56" s="75">
        <f xml:space="preserve"> (S54+T54)/2 * '20MGD 60 Effect Levellized VTE'!$B$3</f>
        <v>0</v>
      </c>
      <c r="T56" s="75">
        <f xml:space="preserve"> (T54+U54)/2 * '20MGD 60 Effect Levellized VTE'!$B$3</f>
        <v>0</v>
      </c>
      <c r="U56" s="75">
        <f xml:space="preserve"> (U54+V54)/2 * '20MGD 60 Effect Levellized VTE'!$B$3</f>
        <v>0</v>
      </c>
      <c r="V56" s="75">
        <f xml:space="preserve"> (V54+W54)/2 * '20MGD 60 Effect Levellized VTE'!$B$3</f>
        <v>0</v>
      </c>
      <c r="W56" s="75">
        <f xml:space="preserve"> (W54+X54)/2 * '20MGD 60 Effect Levellized VTE'!$B$3</f>
        <v>0</v>
      </c>
      <c r="X56" s="75">
        <f xml:space="preserve"> (X54+Y54)/2 * '20MGD 60 Effect Levellized VTE'!$B$3</f>
        <v>0</v>
      </c>
      <c r="Y56" s="75">
        <f xml:space="preserve"> (Y54+Z54)/2 * '20MGD 60 Effect Levellized VTE'!$B$3</f>
        <v>0</v>
      </c>
      <c r="Z56" s="75">
        <f xml:space="preserve"> (Z54+AA54)/2 * '20MGD 60 Effect Levellized VTE'!$B$3</f>
        <v>0</v>
      </c>
      <c r="AA56" s="75">
        <f xml:space="preserve"> (AA54+AB54)/2 * '20MGD 60 Effect Levellized VTE'!$B$3</f>
        <v>0</v>
      </c>
      <c r="AB56" s="75">
        <f xml:space="preserve"> (AB54+AC54)/2 * '20MGD 60 Effect Levellized VTE'!$B$3</f>
        <v>0</v>
      </c>
      <c r="AC56" s="75">
        <f xml:space="preserve"> (AC54+AD54)/2 * '20MGD 60 Effect Levellized VTE'!$B$3</f>
        <v>0</v>
      </c>
      <c r="AD56" s="75">
        <f xml:space="preserve"> (AD54+AE54)/2 * '20MGD 60 Effect Levellized VTE'!$B$3</f>
        <v>0</v>
      </c>
      <c r="AE56" s="75">
        <f xml:space="preserve"> (AE54+AF54)/2 * '20MGD 60 Effect Levellized VTE'!$B$3</f>
        <v>0</v>
      </c>
      <c r="AF56" s="75">
        <f xml:space="preserve"> (AF54+AG54)/2 * '20MGD 60 Effect Levellized VTE'!$B$3</f>
        <v>0</v>
      </c>
      <c r="AG56" s="75">
        <f xml:space="preserve"> (AG54+AH54)/2 * '20MGD 60 Effect Levellized VTE'!$B$3</f>
        <v>0</v>
      </c>
      <c r="AH56" s="75">
        <f xml:space="preserve"> (AH54+AI54)/2 * '20MGD 60 Effect Levellized VTE'!$B$3</f>
        <v>0</v>
      </c>
      <c r="AI56" s="75">
        <f xml:space="preserve"> (AI54+AJ54)/2 * '20MGD 60 Effect Levellized VTE'!$B$3</f>
        <v>0</v>
      </c>
      <c r="AJ56" s="75">
        <f xml:space="preserve"> (AJ54+AK54)/2 * '20MGD 60 Effect Levellized VTE'!$B$3</f>
        <v>0</v>
      </c>
      <c r="AK56" s="75">
        <f xml:space="preserve"> (AK54+AL54)/2 * '20MGD 60 Effect Levellized VTE'!$B$3</f>
        <v>25578205.29037049</v>
      </c>
      <c r="AL56" s="75">
        <f xml:space="preserve"> (AL54+AM54)/2 * '20MGD 60 Effect Levellized VTE'!$B$3</f>
        <v>51156410.580740981</v>
      </c>
      <c r="AM56" s="75">
        <f xml:space="preserve"> (AM54+BI54)/2 * '20MGD 60 Effect Levellized VTE'!$B$3</f>
        <v>25578205.29037049</v>
      </c>
      <c r="AN56" s="75">
        <f xml:space="preserve"> (AN54+BJ54)/2 * '20MGD 60 Effect Levellized VTE'!$B$3</f>
        <v>25578205.29037049</v>
      </c>
      <c r="AO56" s="75">
        <f xml:space="preserve"> (AO54+BK54)/2 * '20MGD 60 Effect Levellized VTE'!$B$3</f>
        <v>0</v>
      </c>
      <c r="AP56" s="75">
        <f xml:space="preserve"> (AP54+BL54)/2 * '20MGD 60 Effect Levellized VTE'!$B$3</f>
        <v>0</v>
      </c>
      <c r="AQ56" s="75">
        <f xml:space="preserve"> (AQ54+BM54)/2 * '20MGD 60 Effect Levellized VTE'!$B$3</f>
        <v>0</v>
      </c>
      <c r="AR56" s="75">
        <f xml:space="preserve"> (AR54+BN54)/2 * '20MGD 60 Effect Levellized VTE'!$B$3</f>
        <v>0</v>
      </c>
      <c r="AS56" s="75">
        <f xml:space="preserve"> (AS54+BO54)/2 * '20MGD 60 Effect Levellized VTE'!$B$3</f>
        <v>0</v>
      </c>
      <c r="AT56" s="75">
        <f xml:space="preserve"> (AT54+BP54)/2 * '20MGD 60 Effect Levellized VTE'!$B$3</f>
        <v>0</v>
      </c>
      <c r="AU56" s="75">
        <f xml:space="preserve"> (AU54+BQ54)/2 * '20MGD 60 Effect Levellized VTE'!$B$3</f>
        <v>0</v>
      </c>
      <c r="AV56" s="75">
        <f xml:space="preserve"> (AV54+BR54)/2 * '20MGD 60 Effect Levellized VTE'!$B$3</f>
        <v>0</v>
      </c>
      <c r="AW56" s="75">
        <f xml:space="preserve"> (AW54+BS54)/2 * '20MGD 60 Effect Levellized VTE'!$B$3</f>
        <v>0</v>
      </c>
      <c r="AX56" s="75">
        <f xml:space="preserve"> (AX54+BT54)/2 * '20MGD 60 Effect Levellized VTE'!$B$3</f>
        <v>0</v>
      </c>
      <c r="AY56" s="75">
        <f xml:space="preserve"> (AY54+BU54)/2 * '20MGD 60 Effect Levellized VTE'!$B$3</f>
        <v>0</v>
      </c>
      <c r="AZ56" s="75">
        <f xml:space="preserve"> (AZ54+BV54)/2 * '20MGD 60 Effect Levellized VTE'!$B$3</f>
        <v>0</v>
      </c>
      <c r="BA56" s="75">
        <f xml:space="preserve"> (BA54+BW54)/2 * '20MGD 60 Effect Levellized VTE'!$B$3</f>
        <v>0</v>
      </c>
      <c r="BB56" s="75">
        <f xml:space="preserve"> (BB54+BX54)/2 * '20MGD 60 Effect Levellized VTE'!$B$3</f>
        <v>0</v>
      </c>
      <c r="BC56" s="75">
        <f xml:space="preserve"> (BC54+BY54)/2 * '20MGD 60 Effect Levellized VTE'!$B$3</f>
        <v>0</v>
      </c>
      <c r="BD56" s="75">
        <f xml:space="preserve"> (BD54+BZ54)/2 * '20MGD 60 Effect Levellized VTE'!$B$3</f>
        <v>0</v>
      </c>
      <c r="BE56" s="75">
        <f xml:space="preserve"> (BE54+CA54)/2 * '20MGD 60 Effect Levellized VTE'!$B$3</f>
        <v>0</v>
      </c>
      <c r="BF56" s="75">
        <f xml:space="preserve"> (BF54+CB54)/2 * '20MGD 60 Effect Levellized VTE'!$B$3</f>
        <v>0</v>
      </c>
      <c r="BG56" s="75">
        <f xml:space="preserve"> (BG54+CC54)/2 * '20MGD 60 Effect Levellized VTE'!$B$3</f>
        <v>0</v>
      </c>
      <c r="BH56" s="75">
        <f xml:space="preserve"> (BH54+CD54)/2 * '20MGD 60 Effect Levellized VTE'!$B$3</f>
        <v>0</v>
      </c>
      <c r="BI56" s="75"/>
    </row>
    <row r="57" spans="1:61" s="74" customFormat="1" x14ac:dyDescent="0.2">
      <c r="A57" s="74" t="s">
        <v>557</v>
      </c>
      <c r="B57" s="121"/>
      <c r="C57" s="75">
        <f>C55 * '20MGD 60 Effect Levellized VTE'!$B$31</f>
        <v>0</v>
      </c>
      <c r="D57" s="75">
        <f>D55 * '20MGD 60 Effect Levellized VTE'!$B$31</f>
        <v>0</v>
      </c>
      <c r="E57" s="75">
        <f>E55 * '20MGD 60 Effect Levellized VTE'!$B$31</f>
        <v>0</v>
      </c>
      <c r="F57" s="75">
        <f>F55 * '20MGD 60 Effect Levellized VTE'!$B$31</f>
        <v>0</v>
      </c>
      <c r="G57" s="75">
        <f>G55 * '20MGD 60 Effect Levellized VTE'!$B$31</f>
        <v>4307000</v>
      </c>
      <c r="H57" s="75">
        <f>H55 * '20MGD 60 Effect Levellized VTE'!$B$31</f>
        <v>8614000</v>
      </c>
      <c r="I57" s="75">
        <f>I55 * '20MGD 60 Effect Levellized VTE'!$B$31</f>
        <v>12921000</v>
      </c>
      <c r="J57" s="75">
        <f>J55 * '20MGD 60 Effect Levellized VTE'!$B$31</f>
        <v>17228000</v>
      </c>
      <c r="K57" s="75">
        <f>K55 * '20MGD 60 Effect Levellized VTE'!$B$31</f>
        <v>21535000</v>
      </c>
      <c r="L57" s="75">
        <f>L55 * '20MGD 60 Effect Levellized VTE'!$B$31</f>
        <v>25842000</v>
      </c>
      <c r="M57" s="75">
        <f>M55 * '20MGD 60 Effect Levellized VTE'!$B$31</f>
        <v>25842000</v>
      </c>
      <c r="N57" s="75">
        <f>N55 * '20MGD 60 Effect Levellized VTE'!$B$31</f>
        <v>25842000</v>
      </c>
      <c r="O57" s="75">
        <f>O55 * '20MGD 60 Effect Levellized VTE'!$B$31</f>
        <v>25842000</v>
      </c>
      <c r="P57" s="75">
        <f>P55 * '20MGD 60 Effect Levellized VTE'!$B$31</f>
        <v>25842000</v>
      </c>
      <c r="Q57" s="75">
        <f>Q55 * '20MGD 60 Effect Levellized VTE'!$B$31</f>
        <v>25842000</v>
      </c>
      <c r="R57" s="75">
        <f>R55 * '20MGD 60 Effect Levellized VTE'!$B$31</f>
        <v>25842000</v>
      </c>
      <c r="S57" s="75">
        <f>S55 * '20MGD 60 Effect Levellized VTE'!$B$31</f>
        <v>25842000</v>
      </c>
      <c r="T57" s="75">
        <f>T55 * '20MGD 60 Effect Levellized VTE'!$B$31</f>
        <v>25842000</v>
      </c>
      <c r="U57" s="75">
        <f>U55 * '20MGD 60 Effect Levellized VTE'!$B$31</f>
        <v>25842000</v>
      </c>
      <c r="V57" s="75">
        <f>V55 * '20MGD 60 Effect Levellized VTE'!$B$31</f>
        <v>25842000</v>
      </c>
      <c r="W57" s="75">
        <f>W55 * '20MGD 60 Effect Levellized VTE'!$B$31</f>
        <v>25842000</v>
      </c>
      <c r="X57" s="75">
        <f>X55 * '20MGD 60 Effect Levellized VTE'!$B$31</f>
        <v>25842000</v>
      </c>
      <c r="Y57" s="75">
        <f>Y55 * '20MGD 60 Effect Levellized VTE'!$B$31</f>
        <v>25842000</v>
      </c>
      <c r="Z57" s="75">
        <f>Z55 * '20MGD 60 Effect Levellized VTE'!$B$31</f>
        <v>25842000</v>
      </c>
      <c r="AA57" s="75">
        <f>AA55 * '20MGD 60 Effect Levellized VTE'!$B$31</f>
        <v>25842000</v>
      </c>
      <c r="AB57" s="75">
        <f>AB55 * '20MGD 60 Effect Levellized VTE'!$B$31</f>
        <v>25842000</v>
      </c>
      <c r="AC57" s="75">
        <f>AC55 * '20MGD 60 Effect Levellized VTE'!$B$31</f>
        <v>25842000</v>
      </c>
      <c r="AD57" s="75">
        <f>AD55 * '20MGD 60 Effect Levellized VTE'!$B$31</f>
        <v>25842000</v>
      </c>
      <c r="AE57" s="75">
        <f>AE55 * '20MGD 60 Effect Levellized VTE'!$B$31</f>
        <v>25842000</v>
      </c>
      <c r="AF57" s="75">
        <f>AF55 * '20MGD 60 Effect Levellized VTE'!$B$31</f>
        <v>25842000</v>
      </c>
      <c r="AG57" s="75">
        <f>AG55 * '20MGD 60 Effect Levellized VTE'!$B$31</f>
        <v>25842000</v>
      </c>
      <c r="AH57" s="75">
        <f>AH55 * '20MGD 60 Effect Levellized VTE'!$B$31</f>
        <v>25842000</v>
      </c>
      <c r="AI57" s="75">
        <f>AI55 * '20MGD 60 Effect Levellized VTE'!$B$31</f>
        <v>25842000</v>
      </c>
      <c r="AJ57" s="75">
        <f>AJ55 * '20MGD 60 Effect Levellized VTE'!$B$31</f>
        <v>25842000</v>
      </c>
      <c r="AK57" s="75">
        <f>AK55 * '20MGD 60 Effect Levellized VTE'!$B$31</f>
        <v>25842000</v>
      </c>
      <c r="AL57" s="75">
        <f>AL55 * '20MGD 60 Effect Levellized VTE'!$B$31</f>
        <v>25842000</v>
      </c>
      <c r="AM57" s="75">
        <f>AM55 * '20MGD 60 Effect Levellized VTE'!$B$31</f>
        <v>21535000</v>
      </c>
      <c r="AN57" s="75">
        <f>AN55 * '20MGD 60 Effect Levellized VTE'!$B$31</f>
        <v>17228000</v>
      </c>
      <c r="AO57" s="75">
        <f>AO55 * '20MGD 60 Effect Levellized VTE'!$B$31</f>
        <v>12921000</v>
      </c>
      <c r="AP57" s="75">
        <f>AP55 * '20MGD 60 Effect Levellized VTE'!$B$31</f>
        <v>12921000</v>
      </c>
      <c r="AQ57" s="75">
        <f>AQ55 * '20MGD 60 Effect Levellized VTE'!$B$31</f>
        <v>12921000</v>
      </c>
      <c r="AR57" s="75">
        <f>AR55 * '20MGD 60 Effect Levellized VTE'!$B$31</f>
        <v>12921000</v>
      </c>
      <c r="AS57" s="75">
        <f>AS55 * '20MGD 60 Effect Levellized VTE'!$B$31</f>
        <v>12921000</v>
      </c>
      <c r="AT57" s="75">
        <f>AT55 * '20MGD 60 Effect Levellized VTE'!$B$31</f>
        <v>12921000</v>
      </c>
      <c r="AU57" s="75">
        <f>AU55 * '20MGD 60 Effect Levellized VTE'!$B$31</f>
        <v>12921000</v>
      </c>
      <c r="AV57" s="75">
        <f>AV55 * '20MGD 60 Effect Levellized VTE'!$B$31</f>
        <v>12921000</v>
      </c>
      <c r="AW57" s="75">
        <f>AW55 * '20MGD 60 Effect Levellized VTE'!$B$31</f>
        <v>12921000</v>
      </c>
      <c r="AX57" s="75">
        <f>AX55 * '20MGD 60 Effect Levellized VTE'!$B$31</f>
        <v>12921000</v>
      </c>
      <c r="AY57" s="75">
        <f>AY55 * '20MGD 60 Effect Levellized VTE'!$B$31</f>
        <v>12921000</v>
      </c>
      <c r="AZ57" s="75">
        <f>AZ55 * '20MGD 60 Effect Levellized VTE'!$B$31</f>
        <v>12921000</v>
      </c>
      <c r="BA57" s="75">
        <f>BA55 * '20MGD 60 Effect Levellized VTE'!$B$31</f>
        <v>12921000</v>
      </c>
      <c r="BB57" s="75">
        <f>BB55 * '20MGD 60 Effect Levellized VTE'!$B$31</f>
        <v>12921000</v>
      </c>
      <c r="BC57" s="75">
        <f>BC55 * '20MGD 60 Effect Levellized VTE'!$B$31</f>
        <v>12921000</v>
      </c>
      <c r="BD57" s="75">
        <f>BD55 * '20MGD 60 Effect Levellized VTE'!$B$31</f>
        <v>12921000</v>
      </c>
      <c r="BE57" s="75">
        <f>BE55 * '20MGD 60 Effect Levellized VTE'!$B$31</f>
        <v>12921000</v>
      </c>
      <c r="BF57" s="75">
        <f>BF55 * '20MGD 60 Effect Levellized VTE'!$B$31</f>
        <v>12921000</v>
      </c>
      <c r="BG57" s="75">
        <f>BG55 * '20MGD 60 Effect Levellized VTE'!$B$31</f>
        <v>12921000</v>
      </c>
      <c r="BH57" s="75">
        <f>BH55 * '20MGD 60 Effect Levellized VTE'!$B$31</f>
        <v>12921000</v>
      </c>
      <c r="BI57" s="75"/>
    </row>
    <row r="58" spans="1:61" s="74" customFormat="1" x14ac:dyDescent="0.2">
      <c r="A58" s="74" t="s">
        <v>558</v>
      </c>
      <c r="B58" s="121"/>
      <c r="C58" s="75">
        <f>C55 * '20MGD 60 Effect Levellized VTE'!$B$24</f>
        <v>0</v>
      </c>
      <c r="D58" s="75">
        <f>D55 * '20MGD 60 Effect Levellized VTE'!$B$24</f>
        <v>0</v>
      </c>
      <c r="E58" s="75">
        <f>E55 * '20MGD 60 Effect Levellized VTE'!$B$24</f>
        <v>0</v>
      </c>
      <c r="F58" s="75">
        <f>F55 * '20MGD 60 Effect Levellized VTE'!$B$24</f>
        <v>0</v>
      </c>
      <c r="G58" s="75">
        <f>G55 * '20MGD 60 Effect Levellized VTE'!$B$24</f>
        <v>4493880</v>
      </c>
      <c r="H58" s="75">
        <f>H55 * '20MGD 60 Effect Levellized VTE'!$B$24</f>
        <v>8987760</v>
      </c>
      <c r="I58" s="75">
        <f>I55 * '20MGD 60 Effect Levellized VTE'!$B$24</f>
        <v>13481640</v>
      </c>
      <c r="J58" s="75">
        <f>J55 * '20MGD 60 Effect Levellized VTE'!$B$24</f>
        <v>17975520</v>
      </c>
      <c r="K58" s="75">
        <f>K55 * '20MGD 60 Effect Levellized VTE'!$B$24</f>
        <v>22469400</v>
      </c>
      <c r="L58" s="75">
        <f>L55 * '20MGD 60 Effect Levellized VTE'!$B$24</f>
        <v>26963280</v>
      </c>
      <c r="M58" s="75">
        <f>M55 * '20MGD 60 Effect Levellized VTE'!$B$24</f>
        <v>26963280</v>
      </c>
      <c r="N58" s="75">
        <f>N55 * '20MGD 60 Effect Levellized VTE'!$B$24</f>
        <v>26963280</v>
      </c>
      <c r="O58" s="75">
        <f>O55 * '20MGD 60 Effect Levellized VTE'!$B$24</f>
        <v>26963280</v>
      </c>
      <c r="P58" s="75">
        <f>P55 * '20MGD 60 Effect Levellized VTE'!$B$24</f>
        <v>26963280</v>
      </c>
      <c r="Q58" s="75">
        <f>Q55 * '20MGD 60 Effect Levellized VTE'!$B$24</f>
        <v>26963280</v>
      </c>
      <c r="R58" s="75">
        <f>R55 * '20MGD 60 Effect Levellized VTE'!$B$24</f>
        <v>26963280</v>
      </c>
      <c r="S58" s="75">
        <f>S55 * '20MGD 60 Effect Levellized VTE'!$B$24</f>
        <v>26963280</v>
      </c>
      <c r="T58" s="75">
        <f>T55 * '20MGD 60 Effect Levellized VTE'!$B$24</f>
        <v>26963280</v>
      </c>
      <c r="U58" s="75">
        <f>U55 * '20MGD 60 Effect Levellized VTE'!$B$24</f>
        <v>26963280</v>
      </c>
      <c r="V58" s="75">
        <f>V55 * '20MGD 60 Effect Levellized VTE'!$B$24</f>
        <v>26963280</v>
      </c>
      <c r="W58" s="75">
        <f>W55 * '20MGD 60 Effect Levellized VTE'!$B$24</f>
        <v>26963280</v>
      </c>
      <c r="X58" s="75">
        <f>X55 * '20MGD 60 Effect Levellized VTE'!$B$24</f>
        <v>26963280</v>
      </c>
      <c r="Y58" s="75">
        <f>Y55 * '20MGD 60 Effect Levellized VTE'!$B$24</f>
        <v>26963280</v>
      </c>
      <c r="Z58" s="75">
        <f>Z55 * '20MGD 60 Effect Levellized VTE'!$B$24</f>
        <v>26963280</v>
      </c>
      <c r="AA58" s="75">
        <f>AA55 * '20MGD 60 Effect Levellized VTE'!$B$24</f>
        <v>26963280</v>
      </c>
      <c r="AB58" s="75">
        <f>AB55 * '20MGD 60 Effect Levellized VTE'!$B$24</f>
        <v>26963280</v>
      </c>
      <c r="AC58" s="75">
        <f>AC55 * '20MGD 60 Effect Levellized VTE'!$B$24</f>
        <v>26963280</v>
      </c>
      <c r="AD58" s="75">
        <f>AD55 * '20MGD 60 Effect Levellized VTE'!$B$24</f>
        <v>26963280</v>
      </c>
      <c r="AE58" s="75">
        <f>AE55 * '20MGD 60 Effect Levellized VTE'!$B$24</f>
        <v>26963280</v>
      </c>
      <c r="AF58" s="75">
        <f>AF55 * '20MGD 60 Effect Levellized VTE'!$B$24</f>
        <v>26963280</v>
      </c>
      <c r="AG58" s="75">
        <f>AG55 * '20MGD 60 Effect Levellized VTE'!$B$24</f>
        <v>26963280</v>
      </c>
      <c r="AH58" s="75">
        <f>AH55 * '20MGD 60 Effect Levellized VTE'!$B$24</f>
        <v>26963280</v>
      </c>
      <c r="AI58" s="75">
        <f>AI55 * '20MGD 60 Effect Levellized VTE'!$B$24</f>
        <v>26963280</v>
      </c>
      <c r="AJ58" s="75">
        <f>AJ55 * '20MGD 60 Effect Levellized VTE'!$B$24</f>
        <v>26963280</v>
      </c>
      <c r="AK58" s="75">
        <f>AK55 * '20MGD 60 Effect Levellized VTE'!$B$24</f>
        <v>26963280</v>
      </c>
      <c r="AL58" s="75">
        <f>AL55 * '20MGD 60 Effect Levellized VTE'!$B$24</f>
        <v>26963280</v>
      </c>
      <c r="AM58" s="75">
        <f>AM55 * '20MGD 60 Effect Levellized VTE'!$B$24</f>
        <v>22469400</v>
      </c>
      <c r="AN58" s="75">
        <f>AN55 * '20MGD 60 Effect Levellized VTE'!$B$24</f>
        <v>17975520</v>
      </c>
      <c r="AO58" s="75">
        <f>AO55 * '20MGD 60 Effect Levellized VTE'!$B$24</f>
        <v>13481640</v>
      </c>
      <c r="AP58" s="75">
        <f>AP55 * '20MGD 60 Effect Levellized VTE'!$B$24</f>
        <v>13481640</v>
      </c>
      <c r="AQ58" s="75">
        <f>AQ55 * '20MGD 60 Effect Levellized VTE'!$B$24</f>
        <v>13481640</v>
      </c>
      <c r="AR58" s="75">
        <f>AR55 * '20MGD 60 Effect Levellized VTE'!$B$24</f>
        <v>13481640</v>
      </c>
      <c r="AS58" s="75">
        <f>AS55 * '20MGD 60 Effect Levellized VTE'!$B$24</f>
        <v>13481640</v>
      </c>
      <c r="AT58" s="75">
        <f>AT55 * '20MGD 60 Effect Levellized VTE'!$B$24</f>
        <v>13481640</v>
      </c>
      <c r="AU58" s="75">
        <f>AU55 * '20MGD 60 Effect Levellized VTE'!$B$24</f>
        <v>13481640</v>
      </c>
      <c r="AV58" s="75">
        <f>AV55 * '20MGD 60 Effect Levellized VTE'!$B$24</f>
        <v>13481640</v>
      </c>
      <c r="AW58" s="75">
        <f>AW55 * '20MGD 60 Effect Levellized VTE'!$B$24</f>
        <v>13481640</v>
      </c>
      <c r="AX58" s="75">
        <f>AX55 * '20MGD 60 Effect Levellized VTE'!$B$24</f>
        <v>13481640</v>
      </c>
      <c r="AY58" s="75">
        <f>AY55 * '20MGD 60 Effect Levellized VTE'!$B$24</f>
        <v>13481640</v>
      </c>
      <c r="AZ58" s="75">
        <f>AZ55 * '20MGD 60 Effect Levellized VTE'!$B$24</f>
        <v>13481640</v>
      </c>
      <c r="BA58" s="75">
        <f>BA55 * '20MGD 60 Effect Levellized VTE'!$B$24</f>
        <v>13481640</v>
      </c>
      <c r="BB58" s="75">
        <f>BB55 * '20MGD 60 Effect Levellized VTE'!$B$24</f>
        <v>13481640</v>
      </c>
      <c r="BC58" s="75">
        <f>BC55 * '20MGD 60 Effect Levellized VTE'!$B$24</f>
        <v>13481640</v>
      </c>
      <c r="BD58" s="75">
        <f>BD55 * '20MGD 60 Effect Levellized VTE'!$B$24</f>
        <v>13481640</v>
      </c>
      <c r="BE58" s="75">
        <f>BE55 * '20MGD 60 Effect Levellized VTE'!$B$24</f>
        <v>13481640</v>
      </c>
      <c r="BF58" s="75">
        <f>BF55 * '20MGD 60 Effect Levellized VTE'!$B$24</f>
        <v>13481640</v>
      </c>
      <c r="BG58" s="75">
        <f>BG55 * '20MGD 60 Effect Levellized VTE'!$B$24</f>
        <v>13481640</v>
      </c>
      <c r="BH58" s="75">
        <f>BH55 * '20MGD 60 Effect Levellized VTE'!$B$24</f>
        <v>13481640</v>
      </c>
      <c r="BI58" s="75"/>
    </row>
    <row r="59" spans="1:61" s="173" customFormat="1" x14ac:dyDescent="0.2">
      <c r="A59" s="173" t="s">
        <v>627</v>
      </c>
      <c r="B59" s="180"/>
      <c r="C59" s="182">
        <v>82093.817504011808</v>
      </c>
      <c r="D59" s="182">
        <v>85623.784615602955</v>
      </c>
      <c r="E59" s="182">
        <v>89102.492911776746</v>
      </c>
      <c r="F59" s="182">
        <v>92366.797135980625</v>
      </c>
      <c r="G59" s="182">
        <v>95365.29214892826</v>
      </c>
      <c r="H59" s="182">
        <v>96885.326706661333</v>
      </c>
      <c r="I59" s="182">
        <v>97009.266410044351</v>
      </c>
      <c r="J59" s="182">
        <v>96437.584012974432</v>
      </c>
      <c r="K59" s="182">
        <v>95158.740445307412</v>
      </c>
      <c r="L59" s="182">
        <v>93122.87511885936</v>
      </c>
      <c r="M59" s="182">
        <v>90467.36591654364</v>
      </c>
      <c r="N59" s="182">
        <v>87704.088565071012</v>
      </c>
      <c r="O59" s="182">
        <v>84954.088833161528</v>
      </c>
      <c r="P59" s="182">
        <v>82271.122765925073</v>
      </c>
      <c r="Q59" s="182">
        <v>79557.657579262654</v>
      </c>
      <c r="R59" s="182">
        <v>76890.897729733813</v>
      </c>
      <c r="S59" s="182">
        <v>74218.969350445477</v>
      </c>
      <c r="T59" s="182">
        <v>71714.354066875821</v>
      </c>
      <c r="U59" s="182">
        <v>69211.508296618529</v>
      </c>
      <c r="V59" s="182">
        <v>66816.935676012712</v>
      </c>
      <c r="W59" s="182">
        <v>64472.540432399124</v>
      </c>
      <c r="X59" s="182">
        <v>62274.195905677851</v>
      </c>
      <c r="Y59" s="182">
        <v>60089.036017025042</v>
      </c>
      <c r="Z59" s="182">
        <v>57956.29777020678</v>
      </c>
      <c r="AA59" s="182">
        <v>54918.718188389539</v>
      </c>
      <c r="AB59" s="182">
        <v>52280.730052414881</v>
      </c>
      <c r="AC59" s="182">
        <v>49856.334558400224</v>
      </c>
      <c r="AD59" s="182">
        <v>47726.820910904949</v>
      </c>
      <c r="AE59" s="182">
        <v>45786.484230593589</v>
      </c>
      <c r="AF59" s="182">
        <v>43992.571673468185</v>
      </c>
      <c r="AG59" s="182">
        <v>42420.018875367197</v>
      </c>
      <c r="AH59" s="182">
        <v>40961.744836989412</v>
      </c>
      <c r="AI59" s="182">
        <v>39631.712257247469</v>
      </c>
      <c r="AJ59" s="182">
        <v>38435.295900866877</v>
      </c>
      <c r="AK59" s="182">
        <v>37322.846671207284</v>
      </c>
      <c r="AL59" s="182">
        <v>36288.54140477856</v>
      </c>
      <c r="AM59" s="182">
        <v>35326.993020762078</v>
      </c>
      <c r="AN59" s="182">
        <v>34679.227344319544</v>
      </c>
      <c r="AO59" s="182">
        <v>34391.629896988692</v>
      </c>
      <c r="AP59" s="182">
        <v>34385.264588266946</v>
      </c>
      <c r="AQ59" s="182">
        <v>34389.805983508202</v>
      </c>
      <c r="AR59" s="182">
        <v>34404.929622364347</v>
      </c>
      <c r="AS59" s="182">
        <v>34430.344738169049</v>
      </c>
      <c r="AT59" s="182">
        <v>34465.791940596078</v>
      </c>
      <c r="AU59" s="182">
        <v>34511.04168644578</v>
      </c>
      <c r="AV59" s="182">
        <v>34565.892423183759</v>
      </c>
      <c r="AW59" s="182">
        <v>34610.112902865098</v>
      </c>
      <c r="AX59" s="182">
        <v>34664.067422123015</v>
      </c>
      <c r="AY59" s="182">
        <v>34727.579643701407</v>
      </c>
      <c r="AZ59" s="182">
        <v>34780.223567298555</v>
      </c>
      <c r="BA59" s="182">
        <v>34864.840704750124</v>
      </c>
      <c r="BB59" s="182">
        <v>34958.310741796129</v>
      </c>
      <c r="BC59" s="182">
        <v>35039.763403902849</v>
      </c>
      <c r="BD59" s="182">
        <v>35039.763403902849</v>
      </c>
      <c r="BE59" s="182">
        <v>35039.763403902849</v>
      </c>
      <c r="BF59" s="182">
        <v>35039.763403902849</v>
      </c>
      <c r="BG59" s="182">
        <v>35039.763403902849</v>
      </c>
      <c r="BH59" s="182">
        <v>35039.763403902849</v>
      </c>
      <c r="BI59" s="181"/>
    </row>
    <row r="60" spans="1:61" s="91" customFormat="1" x14ac:dyDescent="0.2">
      <c r="A60" s="91" t="s">
        <v>559</v>
      </c>
      <c r="B60" s="124"/>
      <c r="C60" s="92">
        <f xml:space="preserve"> C55 * '20MGD 60 Effect Levellized VTE'!$B$39</f>
        <v>0</v>
      </c>
      <c r="D60" s="92">
        <f>D55 * '20MGD 60 Effect Levellized VTE'!$B$39</f>
        <v>0</v>
      </c>
      <c r="E60" s="92">
        <f>E55 * '20MGD 60 Effect Levellized VTE'!$B$39</f>
        <v>0</v>
      </c>
      <c r="F60" s="92">
        <f>F55 * '20MGD 60 Effect Levellized VTE'!$B$39</f>
        <v>0</v>
      </c>
      <c r="G60" s="92">
        <f>G55 * '20MGD 60 Effect Levellized VTE'!$B$39</f>
        <v>21282.577831507697</v>
      </c>
      <c r="H60" s="92">
        <f>H55 * '20MGD 60 Effect Levellized VTE'!$B$39</f>
        <v>42565.155663015394</v>
      </c>
      <c r="I60" s="92">
        <f>I55 * '20MGD 60 Effect Levellized VTE'!$B$39</f>
        <v>63847.73349452309</v>
      </c>
      <c r="J60" s="92">
        <f>J55 * '20MGD 60 Effect Levellized VTE'!$B$39</f>
        <v>85130.311326030787</v>
      </c>
      <c r="K60" s="92">
        <f>K55 * '20MGD 60 Effect Levellized VTE'!$B$39</f>
        <v>106412.88915753848</v>
      </c>
      <c r="L60" s="92">
        <f>L55 * '20MGD 60 Effect Levellized VTE'!$B$39</f>
        <v>127695.46698904618</v>
      </c>
      <c r="M60" s="92">
        <f>M55 * '20MGD 60 Effect Levellized VTE'!$B$39</f>
        <v>127695.46698904618</v>
      </c>
      <c r="N60" s="92">
        <f>N55 * '20MGD 60 Effect Levellized VTE'!$B$39</f>
        <v>127695.46698904618</v>
      </c>
      <c r="O60" s="92">
        <f>O55 * '20MGD 60 Effect Levellized VTE'!$B$39</f>
        <v>127695.46698904618</v>
      </c>
      <c r="P60" s="92">
        <f>P55 * '20MGD 60 Effect Levellized VTE'!$B$39</f>
        <v>127695.46698904618</v>
      </c>
      <c r="Q60" s="92">
        <f>Q55 * '20MGD 60 Effect Levellized VTE'!$B$39</f>
        <v>127695.46698904618</v>
      </c>
      <c r="R60" s="92">
        <f>R55 * '20MGD 60 Effect Levellized VTE'!$B$39</f>
        <v>127695.46698904618</v>
      </c>
      <c r="S60" s="92">
        <f>S55 * '20MGD 60 Effect Levellized VTE'!$B$39</f>
        <v>127695.46698904618</v>
      </c>
      <c r="T60" s="92">
        <f>T55 * '20MGD 60 Effect Levellized VTE'!$B$39</f>
        <v>127695.46698904618</v>
      </c>
      <c r="U60" s="92">
        <f>U55 * '20MGD 60 Effect Levellized VTE'!$B$39</f>
        <v>127695.46698904618</v>
      </c>
      <c r="V60" s="92">
        <f>V55 * '20MGD 60 Effect Levellized VTE'!$B$39</f>
        <v>127695.46698904618</v>
      </c>
      <c r="W60" s="92">
        <f>W55 * '20MGD 60 Effect Levellized VTE'!$B$39</f>
        <v>127695.46698904618</v>
      </c>
      <c r="X60" s="92">
        <f>X55 * '20MGD 60 Effect Levellized VTE'!$B$39</f>
        <v>127695.46698904618</v>
      </c>
      <c r="Y60" s="92">
        <f>Y55 * '20MGD 60 Effect Levellized VTE'!$B$39</f>
        <v>127695.46698904618</v>
      </c>
      <c r="Z60" s="92">
        <f>Z55 * '20MGD 60 Effect Levellized VTE'!$B$39</f>
        <v>127695.46698904618</v>
      </c>
      <c r="AA60" s="92">
        <f>AA55 * '20MGD 60 Effect Levellized VTE'!$B$39</f>
        <v>127695.46698904618</v>
      </c>
      <c r="AB60" s="92">
        <f>AB55 * '20MGD 60 Effect Levellized VTE'!$B$39</f>
        <v>127695.46698904618</v>
      </c>
      <c r="AC60" s="92">
        <f>AC55 * '20MGD 60 Effect Levellized VTE'!$B$39</f>
        <v>127695.46698904618</v>
      </c>
      <c r="AD60" s="92">
        <f>AD55 * '20MGD 60 Effect Levellized VTE'!$B$39</f>
        <v>127695.46698904618</v>
      </c>
      <c r="AE60" s="92">
        <f>AE55 * '20MGD 60 Effect Levellized VTE'!$B$39</f>
        <v>127695.46698904618</v>
      </c>
      <c r="AF60" s="92">
        <f>AF55 * '20MGD 60 Effect Levellized VTE'!$B$39</f>
        <v>127695.46698904618</v>
      </c>
      <c r="AG60" s="92">
        <f>AG55 * '20MGD 60 Effect Levellized VTE'!$B$39</f>
        <v>127695.46698904618</v>
      </c>
      <c r="AH60" s="92">
        <f>AH55 * '20MGD 60 Effect Levellized VTE'!$B$39</f>
        <v>127695.46698904618</v>
      </c>
      <c r="AI60" s="92">
        <f>AI55 * '20MGD 60 Effect Levellized VTE'!$B$39</f>
        <v>127695.46698904618</v>
      </c>
      <c r="AJ60" s="92">
        <f>AJ55 * '20MGD 60 Effect Levellized VTE'!$B$39</f>
        <v>127695.46698904618</v>
      </c>
      <c r="AK60" s="92">
        <f>AK55 * '20MGD 60 Effect Levellized VTE'!$B$39</f>
        <v>127695.46698904618</v>
      </c>
      <c r="AL60" s="92">
        <f>AL55 * '20MGD 60 Effect Levellized VTE'!$B$39</f>
        <v>127695.46698904618</v>
      </c>
      <c r="AM60" s="92">
        <f>AM55 * '20MGD 60 Effect Levellized VTE'!$B$39</f>
        <v>106412.88915753848</v>
      </c>
      <c r="AN60" s="92">
        <f>AN55 * '20MGD 60 Effect Levellized VTE'!$B$39</f>
        <v>85130.311326030787</v>
      </c>
      <c r="AO60" s="92">
        <f>AO55 * '20MGD 60 Effect Levellized VTE'!$B$39</f>
        <v>63847.73349452309</v>
      </c>
      <c r="AP60" s="92">
        <f>AP55 * '20MGD 60 Effect Levellized VTE'!$B$39</f>
        <v>63847.73349452309</v>
      </c>
      <c r="AQ60" s="92">
        <f>AQ55 * '20MGD 60 Effect Levellized VTE'!$B$39</f>
        <v>63847.73349452309</v>
      </c>
      <c r="AR60" s="92">
        <f>AR55 * '20MGD 60 Effect Levellized VTE'!$B$39</f>
        <v>63847.73349452309</v>
      </c>
      <c r="AS60" s="92">
        <f>AS55 * '20MGD 60 Effect Levellized VTE'!$B$39</f>
        <v>63847.73349452309</v>
      </c>
      <c r="AT60" s="92">
        <f>AT55 * '20MGD 60 Effect Levellized VTE'!$B$39</f>
        <v>63847.73349452309</v>
      </c>
      <c r="AU60" s="92">
        <f>AU55 * '20MGD 60 Effect Levellized VTE'!$B$39</f>
        <v>63847.73349452309</v>
      </c>
      <c r="AV60" s="92">
        <f>AV55 * '20MGD 60 Effect Levellized VTE'!$B$39</f>
        <v>63847.73349452309</v>
      </c>
      <c r="AW60" s="92">
        <f>AW55 * '20MGD 60 Effect Levellized VTE'!$B$39</f>
        <v>63847.73349452309</v>
      </c>
      <c r="AX60" s="92">
        <f>AX55 * '20MGD 60 Effect Levellized VTE'!$B$39</f>
        <v>63847.73349452309</v>
      </c>
      <c r="AY60" s="92">
        <f>AY55 * '20MGD 60 Effect Levellized VTE'!$B$39</f>
        <v>63847.73349452309</v>
      </c>
      <c r="AZ60" s="92">
        <f>AZ55 * '20MGD 60 Effect Levellized VTE'!$B$39</f>
        <v>63847.73349452309</v>
      </c>
      <c r="BA60" s="92">
        <f>BA55 * '20MGD 60 Effect Levellized VTE'!$B$39</f>
        <v>63847.73349452309</v>
      </c>
      <c r="BB60" s="92">
        <f>BB55 * '20MGD 60 Effect Levellized VTE'!$B$39</f>
        <v>63847.73349452309</v>
      </c>
      <c r="BC60" s="92">
        <f>BC55 * '20MGD 60 Effect Levellized VTE'!$B$39</f>
        <v>63847.73349452309</v>
      </c>
      <c r="BD60" s="92">
        <f>BD55 * '20MGD 60 Effect Levellized VTE'!$B$39</f>
        <v>63847.73349452309</v>
      </c>
      <c r="BE60" s="92">
        <f>BE55 * '20MGD 60 Effect Levellized VTE'!$B$39</f>
        <v>63847.73349452309</v>
      </c>
      <c r="BF60" s="92">
        <f>BF55 * '20MGD 60 Effect Levellized VTE'!$B$39</f>
        <v>63847.73349452309</v>
      </c>
      <c r="BG60" s="92">
        <f>BG55 * '20MGD 60 Effect Levellized VTE'!$B$39</f>
        <v>63847.73349452309</v>
      </c>
      <c r="BH60" s="92">
        <f>BH55 * '20MGD 60 Effect Levellized VTE'!$B$39</f>
        <v>63847.73349452309</v>
      </c>
      <c r="BI60" s="92"/>
    </row>
    <row r="61" spans="1:61" s="91" customFormat="1" x14ac:dyDescent="0.2">
      <c r="A61" s="91" t="s">
        <v>590</v>
      </c>
      <c r="B61" s="124"/>
      <c r="C61" s="92">
        <f>IF(C62&gt;0,(C60+C62)/C62,0)</f>
        <v>0</v>
      </c>
      <c r="D61" s="92">
        <f t="shared" ref="D61:F61" si="220">IF(D62&gt;0,(D60+D62)/D62,0)</f>
        <v>0</v>
      </c>
      <c r="E61" s="92">
        <f t="shared" si="220"/>
        <v>1</v>
      </c>
      <c r="F61" s="92">
        <f t="shared" si="220"/>
        <v>1</v>
      </c>
      <c r="G61" s="92">
        <f t="shared" ref="G61" si="221">IF(G62&gt;0,(G60+G62)/G62,0)</f>
        <v>6.1700026415291109</v>
      </c>
      <c r="H61" s="92">
        <f t="shared" ref="H61" si="222">IF(H62&gt;0,(H60+H62)/H62,0)</f>
        <v>6.654322704991035</v>
      </c>
      <c r="I61" s="92">
        <f t="shared" ref="I61" si="223">IF(I62&gt;0,(I60+I62)/I62,0)</f>
        <v>6.8642948075482311</v>
      </c>
      <c r="J61" s="92">
        <f t="shared" ref="J61" si="224">IF(J62&gt;0,(J60+J62)/J62,0)</f>
        <v>7.0147261826373146</v>
      </c>
      <c r="K61" s="92">
        <f t="shared" ref="K61" si="225">IF(K62&gt;0,(K60+K62)/K62,0)</f>
        <v>7.1681245916149301</v>
      </c>
      <c r="L61" s="92">
        <f t="shared" ref="L61" si="226">IF(L62&gt;0,(L60+L62)/L62,0)</f>
        <v>7.3533967784931997</v>
      </c>
      <c r="M61" s="92">
        <f t="shared" ref="M61" si="227">IF(M62&gt;0,(M60+M62)/M62,0)</f>
        <v>7.5398894815836792</v>
      </c>
      <c r="N61" s="92">
        <f t="shared" ref="N61" si="228">IF(N62&gt;0,(N60+N62)/N62,0)</f>
        <v>7.7459406336025065</v>
      </c>
      <c r="O61" s="92">
        <f t="shared" ref="O61" si="229">IF(O62&gt;0,(O60+O62)/O62,0)</f>
        <v>7.9643095807442572</v>
      </c>
      <c r="P61" s="92">
        <f t="shared" ref="P61" si="230">IF(P62&gt;0,(P60+P62)/P62,0)</f>
        <v>8.1914245836600248</v>
      </c>
      <c r="Q61" s="92">
        <f t="shared" ref="Q61" si="231">IF(Q62&gt;0,(Q60+Q62)/Q62,0)</f>
        <v>8.4367017932212605</v>
      </c>
      <c r="R61" s="92">
        <f t="shared" ref="R61" si="232">IF(R62&gt;0,(R60+R62)/R62,0)</f>
        <v>8.6946243606594678</v>
      </c>
      <c r="S61" s="92">
        <f t="shared" ref="S61" si="233">IF(S62&gt;0,(S60+S62)/S62,0)</f>
        <v>8.9716355530425371</v>
      </c>
      <c r="T61" s="92">
        <f t="shared" ref="T61" si="234">IF(T62&gt;0,(T60+T62)/T62,0)</f>
        <v>9.2500439763071292</v>
      </c>
      <c r="U61" s="92">
        <f t="shared" ref="U61" si="235">IF(U62&gt;0,(U60+U62)/U62,0)</f>
        <v>9.5483843560896897</v>
      </c>
      <c r="V61" s="92">
        <f t="shared" ref="V61" si="236">IF(V62&gt;0,(V60+V62)/V62,0)</f>
        <v>9.8547397272602968</v>
      </c>
      <c r="W61" s="92">
        <f t="shared" ref="W61" si="237">IF(W62&gt;0,(W60+W62)/W62,0)</f>
        <v>10.176721916279071</v>
      </c>
      <c r="X61" s="92">
        <f t="shared" ref="X61" si="238">IF(X62&gt;0,(X60+X62)/X62,0)</f>
        <v>10.500669838921873</v>
      </c>
      <c r="Y61" s="92">
        <f t="shared" ref="Y61" si="239">IF(Y62&gt;0,(Y60+Y62)/Y62,0)</f>
        <v>10.846165190876986</v>
      </c>
      <c r="Z61" s="92">
        <f t="shared" ref="Z61" si="240">IF(Z62&gt;0,(Z60+Z62)/Z62,0)</f>
        <v>11.208494978924094</v>
      </c>
      <c r="AA61" s="92">
        <f t="shared" ref="AA61" si="241">IF(AA62&gt;0,(AA60+AA62)/AA62,0)</f>
        <v>11.7731315351287</v>
      </c>
      <c r="AB61" s="92">
        <f t="shared" ref="AB61" si="242">IF(AB62&gt;0,(AB60+AB62)/AB62,0)</f>
        <v>12.31672366072587</v>
      </c>
      <c r="AC61" s="92">
        <f t="shared" ref="AC61" si="243">IF(AC62&gt;0,(AC60+AC62)/AC62,0)</f>
        <v>12.867029135307737</v>
      </c>
      <c r="AD61" s="92">
        <f t="shared" ref="AD61" si="244">IF(AD62&gt;0,(AD60+AD62)/AD62,0)</f>
        <v>13.396521777317924</v>
      </c>
      <c r="AE61" s="92">
        <f t="shared" ref="AE61" si="245">IF(AE62&gt;0,(AE60+AE62)/AE62,0)</f>
        <v>13.92186077892522</v>
      </c>
      <c r="AF61" s="92">
        <f t="shared" ref="AF61" si="246">IF(AF62&gt;0,(AF60+AF62)/AF62,0)</f>
        <v>14.448783562271402</v>
      </c>
      <c r="AG61" s="92">
        <f t="shared" ref="AG61" si="247">IF(AG62&gt;0,(AG60+AG62)/AG62,0)</f>
        <v>14.947343505963117</v>
      </c>
      <c r="AH61" s="92">
        <f t="shared" ref="AH61" si="248">IF(AH62&gt;0,(AH60+AH62)/AH62,0)</f>
        <v>15.443881166163479</v>
      </c>
      <c r="AI61" s="92">
        <f t="shared" ref="AI61" si="249">IF(AI62&gt;0,(AI60+AI62)/AI62,0)</f>
        <v>15.928615017787703</v>
      </c>
      <c r="AJ61" s="92">
        <f t="shared" ref="AJ61" si="250">IF(AJ62&gt;0,(AJ60+AJ62)/AJ62,0)</f>
        <v>16.393313903714255</v>
      </c>
      <c r="AK61" s="92">
        <f t="shared" ref="AK61" si="251">IF(AK62&gt;0,(AK60+AK62)/AK62,0)</f>
        <v>16.852128858129451</v>
      </c>
      <c r="AL61" s="92">
        <f t="shared" ref="AL61" si="252">IF(AL62&gt;0,(AL60+AL62)/AL62,0)</f>
        <v>17.303950279640507</v>
      </c>
      <c r="AM61" s="92">
        <f t="shared" ref="AM61" si="253">IF(AM62&gt;0,(AM60+AM62)/AM62,0)</f>
        <v>17.614801228704781</v>
      </c>
      <c r="AN61" s="92">
        <f t="shared" ref="AN61" si="254">IF(AN62&gt;0,(AN60+AN62)/AN62,0)</f>
        <v>17.72602609608413</v>
      </c>
      <c r="AO61" s="92">
        <f t="shared" ref="AO61" si="255">IF(AO62&gt;0,(AO60+AO62)/AO62,0)</f>
        <v>17.541552086843598</v>
      </c>
      <c r="AP61" s="92">
        <f t="shared" ref="AP61" si="256">IF(AP62&gt;0,(AP60+AP62)/AP62,0)</f>
        <v>17.544614214968259</v>
      </c>
      <c r="AQ61" s="92">
        <f t="shared" ref="AQ61" si="257">IF(AQ62&gt;0,(AQ60+AQ62)/AQ62,0)</f>
        <v>17.542429392166401</v>
      </c>
      <c r="AR61" s="92">
        <f t="shared" ref="AR61" si="258">IF(AR62&gt;0,(AR60+AR62)/AR62,0)</f>
        <v>17.53515770957101</v>
      </c>
      <c r="AS61" s="92">
        <f t="shared" ref="AS61" si="259">IF(AS62&gt;0,(AS60+AS62)/AS62,0)</f>
        <v>17.522952111537258</v>
      </c>
      <c r="AT61" s="92">
        <f t="shared" ref="AT61" si="260">IF(AT62&gt;0,(AT60+AT62)/AT62,0)</f>
        <v>17.505958669773342</v>
      </c>
      <c r="AU61" s="92">
        <f t="shared" ref="AU61" si="261">IF(AU62&gt;0,(AU60+AU62)/AU62,0)</f>
        <v>17.484316598183646</v>
      </c>
      <c r="AV61" s="92">
        <f t="shared" ref="AV61" si="262">IF(AV62&gt;0,(AV60+AV62)/AV62,0)</f>
        <v>17.458158531759015</v>
      </c>
      <c r="AW61" s="92">
        <f t="shared" ref="AW61" si="263">IF(AW62&gt;0,(AW60+AW62)/AW62,0)</f>
        <v>17.437130352307868</v>
      </c>
      <c r="AX61" s="92">
        <f t="shared" ref="AX61" si="264">IF(AX62&gt;0,(AX60+AX62)/AX62,0)</f>
        <v>17.411546007131673</v>
      </c>
      <c r="AY61" s="92">
        <f t="shared" ref="AY61" si="265">IF(AY62&gt;0,(AY60+AY62)/AY62,0)</f>
        <v>17.381531426295826</v>
      </c>
      <c r="AZ61" s="92">
        <f t="shared" ref="AZ61" si="266">IF(AZ62&gt;0,(AZ60+AZ62)/AZ62,0)</f>
        <v>17.35673606846435</v>
      </c>
      <c r="BA61" s="92">
        <f t="shared" ref="BA61" si="267">IF(BA62&gt;0,(BA60+BA62)/BA62,0)</f>
        <v>17.317038190711653</v>
      </c>
      <c r="BB61" s="92">
        <f t="shared" ref="BB61" si="268">IF(BB62&gt;0,(BB60+BB62)/BB62,0)</f>
        <v>17.273410391432911</v>
      </c>
      <c r="BC61" s="92">
        <f t="shared" ref="BC61" si="269">IF(BC62&gt;0,(BC60+BC62)/BC62,0)</f>
        <v>17.235581580129075</v>
      </c>
      <c r="BD61" s="92">
        <f t="shared" ref="BD61" si="270">IF(BD62&gt;0,(BD60+BD62)/BD62,0)</f>
        <v>17.235581580129075</v>
      </c>
      <c r="BE61" s="92">
        <f t="shared" ref="BE61" si="271">IF(BE62&gt;0,(BE60+BE62)/BE62,0)</f>
        <v>17.235581580129075</v>
      </c>
      <c r="BF61" s="92">
        <f t="shared" ref="BF61" si="272">IF(BF62&gt;0,(BF60+BF62)/BF62,0)</f>
        <v>17.235581580129075</v>
      </c>
      <c r="BG61" s="92">
        <f t="shared" ref="BG61" si="273">IF(BG62&gt;0,(BG60+BG62)/BG62,0)</f>
        <v>17.235581580129075</v>
      </c>
      <c r="BH61" s="92">
        <f t="shared" ref="BH61" si="274">IF(BH62&gt;0,(BH60+BH62)/BH62,0)</f>
        <v>17.235581580129075</v>
      </c>
      <c r="BI61" s="92"/>
    </row>
    <row r="62" spans="1:61" s="95" customFormat="1" x14ac:dyDescent="0.2">
      <c r="A62" s="95" t="s">
        <v>566</v>
      </c>
      <c r="B62" s="161"/>
      <c r="C62" s="160">
        <f xml:space="preserve"> C63 / ( 1233.48 * 0.2607)</f>
        <v>0</v>
      </c>
      <c r="D62" s="160">
        <f t="shared" ref="D62:F62" si="275" xml:space="preserve"> D63 / ( 1233.48 * 0.2607)</f>
        <v>0</v>
      </c>
      <c r="E62" s="160">
        <f t="shared" si="275"/>
        <v>769.24197162184873</v>
      </c>
      <c r="F62" s="160">
        <f t="shared" si="275"/>
        <v>797.42344820395044</v>
      </c>
      <c r="G62" s="160">
        <f t="shared" ref="G62" si="276" xml:space="preserve"> G63 / ( 1233.48 * 0.2607)</f>
        <v>4116.5506687658162</v>
      </c>
      <c r="H62" s="160">
        <f t="shared" ref="H62" si="277" xml:space="preserve"> H63 / ( 1233.48 * 0.2607)</f>
        <v>7527.8964225800901</v>
      </c>
      <c r="I62" s="160">
        <f t="shared" ref="I62" si="278" xml:space="preserve"> I63 / ( 1233.48 * 0.2607)</f>
        <v>10887.538159292646</v>
      </c>
      <c r="J62" s="160">
        <f t="shared" ref="J62" si="279" xml:space="preserve"> J63 / ( 1233.48 * 0.2607)</f>
        <v>14153.647022498899</v>
      </c>
      <c r="K62" s="160">
        <f t="shared" ref="K62" si="280" xml:space="preserve"> K63 / ( 1233.48 * 0.2607)</f>
        <v>17252.0654498773</v>
      </c>
      <c r="L62" s="160">
        <f t="shared" ref="L62" si="281" xml:space="preserve"> L63 / ( 1233.48 * 0.2607)</f>
        <v>20098.771010383996</v>
      </c>
      <c r="M62" s="160">
        <f t="shared" ref="M62" si="282" xml:space="preserve"> M63 / ( 1233.48 * 0.2607)</f>
        <v>19525.630723368715</v>
      </c>
      <c r="N62" s="160">
        <f t="shared" ref="N62" si="283" xml:space="preserve"> N63 / ( 1233.48 * 0.2607)</f>
        <v>18929.230766273955</v>
      </c>
      <c r="O62" s="160">
        <f t="shared" ref="O62" si="284" xml:space="preserve"> O63 / ( 1233.48 * 0.2607)</f>
        <v>18335.696526488948</v>
      </c>
      <c r="P62" s="160">
        <f t="shared" ref="P62" si="285" xml:space="preserve"> P63 / ( 1233.48 * 0.2607)</f>
        <v>17756.630206369551</v>
      </c>
      <c r="Q62" s="160">
        <f t="shared" ref="Q62" si="286" xml:space="preserve"> Q63 / ( 1233.48 * 0.2607)</f>
        <v>17170.981241367481</v>
      </c>
      <c r="R62" s="160">
        <f t="shared" ref="R62" si="287" xml:space="preserve"> R63 / ( 1233.48 * 0.2607)</f>
        <v>16595.412719809759</v>
      </c>
      <c r="S62" s="160">
        <f t="shared" ref="S62" si="288" xml:space="preserve"> S63 / ( 1233.48 * 0.2607)</f>
        <v>16018.728671095434</v>
      </c>
      <c r="T62" s="160">
        <f t="shared" ref="T62" si="289" xml:space="preserve"> T63 / ( 1233.48 * 0.2607)</f>
        <v>15478.155917200942</v>
      </c>
      <c r="U62" s="160">
        <f t="shared" ref="U62" si="290" xml:space="preserve"> U63 / ( 1233.48 * 0.2607)</f>
        <v>14937.965078521371</v>
      </c>
      <c r="V62" s="160">
        <f t="shared" ref="V62" si="291" xml:space="preserve"> V63 / ( 1233.48 * 0.2607)</f>
        <v>14421.142904508142</v>
      </c>
      <c r="W62" s="160">
        <f t="shared" ref="W62" si="292" xml:space="preserve"> W63 / ( 1233.48 * 0.2607)</f>
        <v>13915.150546571589</v>
      </c>
      <c r="X62" s="160">
        <f t="shared" ref="X62" si="293" xml:space="preserve"> X63 / ( 1233.48 * 0.2607)</f>
        <v>13440.680410333778</v>
      </c>
      <c r="Y62" s="160">
        <f t="shared" ref="Y62" si="294" xml:space="preserve"> Y63 / ( 1233.48 * 0.2607)</f>
        <v>12969.05592314895</v>
      </c>
      <c r="Z62" s="160">
        <f t="shared" ref="Z62" si="295" xml:space="preserve"> Z63 / ( 1233.48 * 0.2607)</f>
        <v>12508.745633188764</v>
      </c>
      <c r="AA62" s="160">
        <f t="shared" ref="AA62" si="296" xml:space="preserve"> AA63 / ( 1233.48 * 0.2607)</f>
        <v>11853.142846410135</v>
      </c>
      <c r="AB62" s="160">
        <f t="shared" ref="AB62" si="297" xml:space="preserve"> AB63 / ( 1233.48 * 0.2607)</f>
        <v>11283.784142596587</v>
      </c>
      <c r="AC62" s="160">
        <f t="shared" ref="AC62" si="298" xml:space="preserve"> AC63 / ( 1233.48 * 0.2607)</f>
        <v>10760.525278320618</v>
      </c>
      <c r="AD62" s="160">
        <f t="shared" ref="AD62" si="299" xml:space="preserve"> AD63 / ( 1233.48 * 0.2607)</f>
        <v>10300.910955740201</v>
      </c>
      <c r="AE62" s="160">
        <f t="shared" ref="AE62" si="300" xml:space="preserve"> AE63 / ( 1233.48 * 0.2607)</f>
        <v>9882.1268216501612</v>
      </c>
      <c r="AF62" s="160">
        <f t="shared" ref="AF62" si="301" xml:space="preserve"> AF63 / ( 1233.48 * 0.2607)</f>
        <v>9494.9455017833097</v>
      </c>
      <c r="AG62" s="160">
        <f t="shared" ref="AG62" si="302" xml:space="preserve"> AG63 / ( 1233.48 * 0.2607)</f>
        <v>9155.5404034073326</v>
      </c>
      <c r="AH62" s="160">
        <f t="shared" ref="AH62" si="303" xml:space="preserve"> AH63 / ( 1233.48 * 0.2607)</f>
        <v>8840.8001644452816</v>
      </c>
      <c r="AI62" s="160">
        <f t="shared" ref="AI62" si="304" xml:space="preserve"> AI63 / ( 1233.48 * 0.2607)</f>
        <v>8553.7383633307454</v>
      </c>
      <c r="AJ62" s="160">
        <f t="shared" ref="AJ62" si="305" xml:space="preserve"> AJ63 / ( 1233.48 * 0.2607)</f>
        <v>8295.515039047863</v>
      </c>
      <c r="AK62" s="160">
        <f t="shared" ref="AK62" si="306" xml:space="preserve"> AK63 / ( 1233.48 * 0.2607)</f>
        <v>8055.4143946136355</v>
      </c>
      <c r="AL62" s="160">
        <f t="shared" ref="AL62" si="307" xml:space="preserve"> AL63 / ( 1233.48 * 0.2607)</f>
        <v>7832.1796128454444</v>
      </c>
      <c r="AM62" s="160">
        <f t="shared" ref="AM62" si="308" xml:space="preserve"> AM63 / ( 1233.48 * 0.2607)</f>
        <v>6404.7043171177302</v>
      </c>
      <c r="AN62" s="160">
        <f t="shared" ref="AN62" si="309" xml:space="preserve"> AN63 / ( 1233.48 * 0.2607)</f>
        <v>5089.6914088853036</v>
      </c>
      <c r="AO62" s="160">
        <f t="shared" ref="AO62" si="310" xml:space="preserve"> AO63 / ( 1233.48 * 0.2607)</f>
        <v>3859.8393403062032</v>
      </c>
      <c r="AP62" s="160">
        <f t="shared" ref="AP62" si="311" xml:space="preserve"> AP63 / ( 1233.48 * 0.2607)</f>
        <v>3859.1249493601799</v>
      </c>
      <c r="AQ62" s="160">
        <f t="shared" ref="AQ62" si="312" xml:space="preserve"> AQ63 / ( 1233.48 * 0.2607)</f>
        <v>3859.6346389580426</v>
      </c>
      <c r="AR62" s="160">
        <f t="shared" ref="AR62" si="313" xml:space="preserve"> AR63 / ( 1233.48 * 0.2607)</f>
        <v>3861.3319942855001</v>
      </c>
      <c r="AS62" s="160">
        <f t="shared" ref="AS62" si="314" xml:space="preserve"> AS63 / ( 1233.48 * 0.2607)</f>
        <v>3864.1843820355202</v>
      </c>
      <c r="AT62" s="160">
        <f t="shared" ref="AT62" si="315" xml:space="preserve"> AT63 / ( 1233.48 * 0.2607)</f>
        <v>3868.1626903285978</v>
      </c>
      <c r="AU62" s="160">
        <f t="shared" ref="AU62" si="316" xml:space="preserve"> AU63 / ( 1233.48 * 0.2607)</f>
        <v>3873.24115708614</v>
      </c>
      <c r="AV62" s="160">
        <f t="shared" ref="AV62" si="317" xml:space="preserve"> AV63 / ( 1233.48 * 0.2607)</f>
        <v>3879.3971616762137</v>
      </c>
      <c r="AW62" s="160">
        <f t="shared" ref="AW62" si="318" xml:space="preserve"> AW63 / ( 1233.48 * 0.2607)</f>
        <v>3884.3601118949873</v>
      </c>
      <c r="AX62" s="160">
        <f t="shared" ref="AX62" si="319" xml:space="preserve"> AX63 / ( 1233.48 * 0.2607)</f>
        <v>3890.4155322586867</v>
      </c>
      <c r="AY62" s="160">
        <f t="shared" ref="AY62" si="320" xml:space="preserve"> AY63 / ( 1233.48 * 0.2607)</f>
        <v>3897.5436320949793</v>
      </c>
      <c r="AZ62" s="160">
        <f t="shared" ref="AZ62" si="321" xml:space="preserve"> AZ63 / ( 1233.48 * 0.2607)</f>
        <v>3903.4519617652195</v>
      </c>
      <c r="BA62" s="160">
        <f t="shared" ref="BA62" si="322" xml:space="preserve"> BA63 / ( 1233.48 * 0.2607)</f>
        <v>3912.94870725178</v>
      </c>
      <c r="BB62" s="160">
        <f t="shared" ref="BB62" si="323" xml:space="preserve"> BB63 / ( 1233.48 * 0.2607)</f>
        <v>3923.4390308337292</v>
      </c>
      <c r="BC62" s="160">
        <f t="shared" ref="BC62" si="324" xml:space="preserve"> BC63 / ( 1233.48 * 0.2607)</f>
        <v>3932.5806211135123</v>
      </c>
      <c r="BD62" s="160">
        <f t="shared" ref="BD62" si="325" xml:space="preserve"> BD63 / ( 1233.48 * 0.2607)</f>
        <v>3932.5806211135123</v>
      </c>
      <c r="BE62" s="160">
        <f t="shared" ref="BE62" si="326" xml:space="preserve"> BE63 / ( 1233.48 * 0.2607)</f>
        <v>3932.5806211135123</v>
      </c>
      <c r="BF62" s="160">
        <f t="shared" ref="BF62" si="327" xml:space="preserve"> BF63 / ( 1233.48 * 0.2607)</f>
        <v>3932.5806211135123</v>
      </c>
      <c r="BG62" s="160">
        <f t="shared" ref="BG62" si="328" xml:space="preserve"> BG63 / ( 1233.48 * 0.2607)</f>
        <v>3932.5806211135123</v>
      </c>
      <c r="BH62" s="160">
        <f t="shared" ref="BH62" si="329" xml:space="preserve"> BH63 / ( 1233.48 * 0.2607)</f>
        <v>3932.5806211135123</v>
      </c>
      <c r="BI62" s="160"/>
    </row>
    <row r="63" spans="1:61" s="95" customFormat="1" x14ac:dyDescent="0.2">
      <c r="A63" s="95" t="s">
        <v>569</v>
      </c>
      <c r="B63" s="161"/>
      <c r="C63" s="160">
        <f xml:space="preserve"> (C17*'Levellized Salt Sep Plant'!$C$40) * (C59 * 'Levellized Salt Sep Plant'!$C$39 *1233481.8375475/1000/1000/1000)</f>
        <v>0</v>
      </c>
      <c r="D63" s="160">
        <f xml:space="preserve"> (D17*'Levellized Salt Sep Plant'!$C$40) * (D59 * 'Levellized Salt Sep Plant'!$C$39 *1233481.8375475/1000/1000/1000)</f>
        <v>0</v>
      </c>
      <c r="E63" s="160">
        <f xml:space="preserve"> (E17*'Levellized Salt Sep Plant'!$C$40) * (E59 * 'Levellized Salt Sep Plant'!$C$39 *1233481.8375475/1000/1000/1000)</f>
        <v>247363.78387159997</v>
      </c>
      <c r="F63" s="160">
        <f xml:space="preserve"> (F17*'Levellized Salt Sep Plant'!$C$40) * (F59 * 'Levellized Salt Sep Plant'!$C$39 *1233481.8375475/1000/1000/1000)</f>
        <v>256426.05158398172</v>
      </c>
      <c r="G63" s="160">
        <f xml:space="preserve"> (G17*'Levellized Salt Sep Plant'!$C$40) * (G59 * 'Levellized Salt Sep Plant'!$C$39 *1233481.8375475/1000/1000/1000)</f>
        <v>1323751.9369596438</v>
      </c>
      <c r="H63" s="160">
        <f xml:space="preserve"> (H17*'Levellized Salt Sep Plant'!$C$40) * (H59 * 'Levellized Salt Sep Plant'!$C$39 *1233481.8375475/1000/1000/1000)</f>
        <v>2420732.3733997904</v>
      </c>
      <c r="I63" s="160">
        <f xml:space="preserve"> (I17*'Levellized Salt Sep Plant'!$C$40) * (I59 * 'Levellized Salt Sep Plant'!$C$39 *1233481.8375475/1000/1000/1000)</f>
        <v>3501086.4402664234</v>
      </c>
      <c r="J63" s="160">
        <f xml:space="preserve"> (J17*'Levellized Salt Sep Plant'!$C$40) * (J59 * 'Levellized Salt Sep Plant'!$C$39 *1233481.8375475/1000/1000/1000)</f>
        <v>4551363.3059916236</v>
      </c>
      <c r="K63" s="160">
        <f xml:space="preserve"> (K17*'Levellized Salt Sep Plant'!$C$40) * (K59 * 'Levellized Salt Sep Plant'!$C$39 *1233481.8375475/1000/1000/1000)</f>
        <v>5547716.25407359</v>
      </c>
      <c r="L63" s="160">
        <f xml:space="preserve"> (L17*'Levellized Salt Sep Plant'!$C$40) * (L59 * 'Levellized Salt Sep Plant'!$C$39 *1233481.8375475/1000/1000/1000)</f>
        <v>6463126.3395771198</v>
      </c>
      <c r="M63" s="160">
        <f xml:space="preserve"> (M17*'Levellized Salt Sep Plant'!$C$40) * (M59 * 'Levellized Salt Sep Plant'!$C$39 *1233481.8375475/1000/1000/1000)</f>
        <v>6278822.6285010818</v>
      </c>
      <c r="N63" s="160">
        <f xml:space="preserve"> (N17*'Levellized Salt Sep Plant'!$C$40) * (N59 * 'Levellized Salt Sep Plant'!$C$39 *1233481.8375475/1000/1000/1000)</f>
        <v>6087039.346347644</v>
      </c>
      <c r="O63" s="160">
        <f xml:space="preserve"> (O17*'Levellized Salt Sep Plant'!$C$40) * (O59 * 'Levellized Salt Sep Plant'!$C$39 *1233481.8375475/1000/1000/1000)</f>
        <v>5896177.5878543789</v>
      </c>
      <c r="P63" s="160">
        <f xml:space="preserve"> (P17*'Levellized Salt Sep Plant'!$C$40) * (P59 * 'Levellized Salt Sep Plant'!$C$39 *1233481.8375475/1000/1000/1000)</f>
        <v>5709968.2527665729</v>
      </c>
      <c r="Q63" s="160">
        <f xml:space="preserve"> (Q17*'Levellized Salt Sep Plant'!$C$40) * (Q59 * 'Levellized Salt Sep Plant'!$C$39 *1233481.8375475/1000/1000/1000)</f>
        <v>5521642.1481756316</v>
      </c>
      <c r="R63" s="160">
        <f xml:space="preserve"> (R17*'Levellized Salt Sep Plant'!$C$40) * (R59 * 'Levellized Salt Sep Plant'!$C$39 *1233481.8375475/1000/1000/1000)</f>
        <v>5336557.594001187</v>
      </c>
      <c r="S63" s="160">
        <f xml:space="preserve"> (S17*'Levellized Salt Sep Plant'!$C$40) * (S59 * 'Levellized Salt Sep Plant'!$C$39 *1233481.8375475/1000/1000/1000)</f>
        <v>5151114.3217267832</v>
      </c>
      <c r="T63" s="160">
        <f xml:space="preserve"> (T17*'Levellized Salt Sep Plant'!$C$40) * (T59 * 'Levellized Salt Sep Plant'!$C$39 *1233481.8375475/1000/1000/1000)</f>
        <v>4977283.2948272694</v>
      </c>
      <c r="U63" s="160">
        <f xml:space="preserve"> (U17*'Levellized Salt Sep Plant'!$C$40) * (U59 * 'Levellized Salt Sep Plant'!$C$39 *1233481.8375475/1000/1000/1000)</f>
        <v>4803575.0797297191</v>
      </c>
      <c r="V63" s="160">
        <f xml:space="preserve"> (V17*'Levellized Salt Sep Plant'!$C$40) * (V59 * 'Levellized Salt Sep Plant'!$C$39 *1233481.8375475/1000/1000/1000)</f>
        <v>4637381.4849065999</v>
      </c>
      <c r="W63" s="160">
        <f xml:space="preserve"> (W17*'Levellized Salt Sep Plant'!$C$40) * (W59 * 'Levellized Salt Sep Plant'!$C$39 *1233481.8375475/1000/1000/1000)</f>
        <v>4474670.4149354622</v>
      </c>
      <c r="X63" s="160">
        <f xml:space="preserve"> (X17*'Levellized Salt Sep Plant'!$C$40) * (X59 * 'Levellized Salt Sep Plant'!$C$39 *1233481.8375475/1000/1000/1000)</f>
        <v>4322095.8901907895</v>
      </c>
      <c r="Y63" s="160">
        <f xml:space="preserve"> (Y17*'Levellized Salt Sep Plant'!$C$40) * (Y59 * 'Levellized Salt Sep Plant'!$C$39 *1233481.8375475/1000/1000/1000)</f>
        <v>4170436.4357923595</v>
      </c>
      <c r="Z63" s="160">
        <f xml:space="preserve"> (Z17*'Levellized Salt Sep Plant'!$C$40) * (Z59 * 'Levellized Salt Sep Plant'!$C$39 *1233481.8375475/1000/1000/1000)</f>
        <v>4022415.2678372143</v>
      </c>
      <c r="AA63" s="160">
        <f xml:space="preserve"> (AA17*'Levellized Salt Sep Plant'!$C$40) * (AA59 * 'Levellized Salt Sep Plant'!$C$39 *1233481.8375475/1000/1000/1000)</f>
        <v>3811594.2361761262</v>
      </c>
      <c r="AB63" s="160">
        <f xml:space="preserve"> (AB17*'Levellized Salt Sep Plant'!$C$40) * (AB59 * 'Levellized Salt Sep Plant'!$C$39 *1233481.8375475/1000/1000/1000)</f>
        <v>3628506.5621395572</v>
      </c>
      <c r="AC63" s="160">
        <f xml:space="preserve"> (AC17*'Levellized Salt Sep Plant'!$C$40) * (AC59 * 'Levellized Salt Sep Plant'!$C$39 *1233481.8375475/1000/1000/1000)</f>
        <v>3460243.1321829702</v>
      </c>
      <c r="AD63" s="160">
        <f xml:space="preserve"> (AD17*'Levellized Salt Sep Plant'!$C$40) * (AD59 * 'Levellized Salt Sep Plant'!$C$39 *1233481.8375475/1000/1000/1000)</f>
        <v>3312445.7652304508</v>
      </c>
      <c r="AE63" s="160">
        <f xml:space="preserve"> (AE17*'Levellized Salt Sep Plant'!$C$40) * (AE59 * 'Levellized Salt Sep Plant'!$C$39 *1233481.8375475/1000/1000/1000)</f>
        <v>3177778.0899663288</v>
      </c>
      <c r="AF63" s="160">
        <f xml:space="preserve"> (AF17*'Levellized Salt Sep Plant'!$C$40) * (AF59 * 'Levellized Salt Sep Plant'!$C$39 *1233481.8375475/1000/1000/1000)</f>
        <v>3053272.8759245938</v>
      </c>
      <c r="AG63" s="160">
        <f xml:space="preserve"> (AG17*'Levellized Salt Sep Plant'!$C$40) * (AG59 * 'Levellized Salt Sep Plant'!$C$39 *1233481.8375475/1000/1000/1000)</f>
        <v>2944130.9771504244</v>
      </c>
      <c r="AH63" s="160">
        <f xml:space="preserve"> (AH17*'Levellized Salt Sep Plant'!$C$40) * (AH59 * 'Levellized Salt Sep Plant'!$C$39 *1233481.8375475/1000/1000/1000)</f>
        <v>2842920.5137091791</v>
      </c>
      <c r="AI63" s="160">
        <f xml:space="preserve"> (AI17*'Levellized Salt Sep Plant'!$C$40) * (AI59 * 'Levellized Salt Sep Plant'!$C$39 *1233481.8375475/1000/1000/1000)</f>
        <v>2750610.5567017952</v>
      </c>
      <c r="AJ63" s="160">
        <f xml:space="preserve"> (AJ17*'Levellized Salt Sep Plant'!$C$40) * (AJ59 * 'Levellized Salt Sep Plant'!$C$39 *1233481.8375475/1000/1000/1000)</f>
        <v>2667574.1378180925</v>
      </c>
      <c r="AK63" s="160">
        <f xml:space="preserve"> (AK17*'Levellized Salt Sep Plant'!$C$40) * (AK59 * 'Levellized Salt Sep Plant'!$C$39 *1233481.8375475/1000/1000/1000)</f>
        <v>2590365.3971249149</v>
      </c>
      <c r="AL63" s="160">
        <f xml:space="preserve"> (AL17*'Levellized Salt Sep Plant'!$C$40) * (AL59 * 'Levellized Salt Sep Plant'!$C$39 *1233481.8375475/1000/1000/1000)</f>
        <v>2518580.1821378726</v>
      </c>
      <c r="AM63" s="160">
        <f xml:space="preserve"> (AM17*'Levellized Salt Sep Plant'!$C$40) * (AM59 * 'Levellized Salt Sep Plant'!$C$39 *1233481.8375475/1000/1000/1000)</f>
        <v>2059549.4693571331</v>
      </c>
      <c r="AN63" s="160">
        <f xml:space="preserve"> (AN17*'Levellized Salt Sep Plant'!$C$40) * (AN59 * 'Levellized Salt Sep Plant'!$C$39 *1233481.8375475/1000/1000/1000)</f>
        <v>1636683.088139602</v>
      </c>
      <c r="AO63" s="160">
        <f xml:space="preserve"> (AO17*'Levellized Salt Sep Plant'!$C$40) * (AO59 * 'Levellized Salt Sep Plant'!$C$39 *1233481.8375475/1000/1000/1000)</f>
        <v>1241201.7279056695</v>
      </c>
      <c r="AP63" s="160">
        <f xml:space="preserve"> (AP17*'Levellized Salt Sep Plant'!$C$40) * (AP59 * 'Levellized Salt Sep Plant'!$C$39 *1233481.8375475/1000/1000/1000)</f>
        <v>1240972.0024693424</v>
      </c>
      <c r="AQ63" s="160">
        <f xml:space="preserve"> (AQ17*'Levellized Salt Sep Plant'!$C$40) * (AQ59 * 'Levellized Salt Sep Plant'!$C$39 *1233481.8375475/1000/1000/1000)</f>
        <v>1241135.9024542347</v>
      </c>
      <c r="AR63" s="160">
        <f xml:space="preserve"> (AR17*'Levellized Salt Sep Plant'!$C$40) * (AR59 * 'Levellized Salt Sep Plant'!$C$39 *1233481.8375475/1000/1000/1000)</f>
        <v>1241681.7180127504</v>
      </c>
      <c r="AS63" s="160">
        <f xml:space="preserve"> (AS17*'Levellized Salt Sep Plant'!$C$40) * (AS59 * 'Levellized Salt Sep Plant'!$C$39 *1233481.8375475/1000/1000/1000)</f>
        <v>1242598.9553099123</v>
      </c>
      <c r="AT63" s="160">
        <f xml:space="preserve"> (AT17*'Levellized Salt Sep Plant'!$C$40) * (AT59 * 'Levellized Salt Sep Plant'!$C$39 *1233481.8375475/1000/1000/1000)</f>
        <v>1243878.2528899815</v>
      </c>
      <c r="AU63" s="160">
        <f xml:space="preserve"> (AU17*'Levellized Salt Sep Plant'!$C$40) * (AU59 * 'Levellized Salt Sep Plant'!$C$39 *1233481.8375475/1000/1000/1000)</f>
        <v>1245511.3264867889</v>
      </c>
      <c r="AV63" s="160">
        <f xml:space="preserve"> (AV17*'Levellized Salt Sep Plant'!$C$40) * (AV59 * 'Levellized Salt Sep Plant'!$C$39 *1233481.8375475/1000/1000/1000)</f>
        <v>1247490.902023627</v>
      </c>
      <c r="AW63" s="160">
        <f xml:space="preserve"> (AW17*'Levellized Salt Sep Plant'!$C$40) * (AW59 * 'Levellized Salt Sep Plant'!$C$39 *1233481.8375475/1000/1000/1000)</f>
        <v>1249086.8291708338</v>
      </c>
      <c r="AX63" s="160">
        <f xml:space="preserve"> (AX17*'Levellized Salt Sep Plant'!$C$40) * (AX59 * 'Levellized Salt Sep Plant'!$C$39 *1233481.8375475/1000/1000/1000)</f>
        <v>1251034.0600154269</v>
      </c>
      <c r="AY63" s="160">
        <f xml:space="preserve"> (AY17*'Levellized Salt Sep Plant'!$C$40) * (AY59 * 'Levellized Salt Sep Plant'!$C$39 *1233481.8375475/1000/1000/1000)</f>
        <v>1253326.2305058155</v>
      </c>
      <c r="AZ63" s="160">
        <f xml:space="preserve"> (AZ17*'Levellized Salt Sep Plant'!$C$40) * (AZ59 * 'Levellized Salt Sep Plant'!$C$39 *1233481.8375475/1000/1000/1000)</f>
        <v>1255226.1616555811</v>
      </c>
      <c r="BA63" s="160">
        <f xml:space="preserve"> (BA17*'Levellized Salt Sep Plant'!$C$40) * (BA59 * 'Levellized Salt Sep Plant'!$C$39 *1233481.8375475/1000/1000/1000)</f>
        <v>1258280.0133494353</v>
      </c>
      <c r="BB63" s="160">
        <f xml:space="preserve"> (BB17*'Levellized Salt Sep Plant'!$C$40) * (BB59 * 'Levellized Salt Sep Plant'!$C$39 *1233481.8375475/1000/1000/1000)</f>
        <v>1261653.3681987519</v>
      </c>
      <c r="BC63" s="160">
        <f xml:space="preserve"> (BC17*'Levellized Salt Sep Plant'!$C$40) * (BC59 * 'Levellized Salt Sep Plant'!$C$39 *1233481.8375475/1000/1000/1000)</f>
        <v>1264593.0132592565</v>
      </c>
      <c r="BD63" s="160">
        <f xml:space="preserve"> (BD17*'Levellized Salt Sep Plant'!$C$40) * (BD59 * 'Levellized Salt Sep Plant'!$C$39 *1233481.8375475/1000/1000/1000)</f>
        <v>1264593.0132592565</v>
      </c>
      <c r="BE63" s="160">
        <f xml:space="preserve"> (BE17*'Levellized Salt Sep Plant'!$C$40) * (BE59 * 'Levellized Salt Sep Plant'!$C$39 *1233481.8375475/1000/1000/1000)</f>
        <v>1264593.0132592565</v>
      </c>
      <c r="BF63" s="160">
        <f xml:space="preserve"> (BF17*'Levellized Salt Sep Plant'!$C$40) * (BF59 * 'Levellized Salt Sep Plant'!$C$39 *1233481.8375475/1000/1000/1000)</f>
        <v>1264593.0132592565</v>
      </c>
      <c r="BG63" s="160">
        <f xml:space="preserve"> (BG17*'Levellized Salt Sep Plant'!$C$40) * (BG59 * 'Levellized Salt Sep Plant'!$C$39 *1233481.8375475/1000/1000/1000)</f>
        <v>1264593.0132592565</v>
      </c>
      <c r="BH63" s="160">
        <f xml:space="preserve"> (BH17*'Levellized Salt Sep Plant'!$C$40) * (BH59 * 'Levellized Salt Sep Plant'!$C$39 *1233481.8375475/1000/1000/1000)</f>
        <v>1264593.0132592565</v>
      </c>
      <c r="BI63" s="160"/>
    </row>
    <row r="64" spans="1:61" s="87" customFormat="1" x14ac:dyDescent="0.2">
      <c r="A64" s="87" t="s">
        <v>584</v>
      </c>
      <c r="B64" s="129"/>
      <c r="C64" s="170">
        <f xml:space="preserve"> (C48 + C50 + C60 + C62) / 0.95</f>
        <v>0</v>
      </c>
      <c r="D64" s="170">
        <f t="shared" ref="D64:BH64" si="330" xml:space="preserve"> (D48 + D50 + D60 + D62) / 0.95</f>
        <v>0</v>
      </c>
      <c r="E64" s="170">
        <f t="shared" si="330"/>
        <v>7220.1351590743379</v>
      </c>
      <c r="F64" s="170">
        <f t="shared" si="330"/>
        <v>7279.4645834577104</v>
      </c>
      <c r="G64" s="170">
        <f t="shared" si="330"/>
        <v>36669.81434412238</v>
      </c>
      <c r="H64" s="170">
        <f t="shared" si="330"/>
        <v>66254.308385318422</v>
      </c>
      <c r="I64" s="170">
        <f t="shared" si="330"/>
        <v>95729.951864195056</v>
      </c>
      <c r="J64" s="170">
        <f t="shared" si="330"/>
        <v>125008.68403042687</v>
      </c>
      <c r="K64" s="170">
        <f t="shared" si="330"/>
        <v>153934.38370017897</v>
      </c>
      <c r="L64" s="170">
        <f t="shared" si="330"/>
        <v>182330.16154493802</v>
      </c>
      <c r="M64" s="170">
        <f t="shared" si="330"/>
        <v>181123.55041437954</v>
      </c>
      <c r="N64" s="170">
        <f t="shared" si="330"/>
        <v>179867.97155733791</v>
      </c>
      <c r="O64" s="170">
        <f t="shared" si="330"/>
        <v>178618.42578936947</v>
      </c>
      <c r="P64" s="170">
        <f t="shared" si="330"/>
        <v>177399.33879964447</v>
      </c>
      <c r="Q64" s="170">
        <f t="shared" si="330"/>
        <v>176166.39361016636</v>
      </c>
      <c r="R64" s="170">
        <f t="shared" si="330"/>
        <v>174954.67040688699</v>
      </c>
      <c r="S64" s="170">
        <f t="shared" si="330"/>
        <v>173740.59872538311</v>
      </c>
      <c r="T64" s="170">
        <f t="shared" si="330"/>
        <v>172602.55082244735</v>
      </c>
      <c r="U64" s="170">
        <f t="shared" si="330"/>
        <v>171465.30695154303</v>
      </c>
      <c r="V64" s="170">
        <f t="shared" si="330"/>
        <v>170377.26026940986</v>
      </c>
      <c r="W64" s="170">
        <f t="shared" si="330"/>
        <v>169312.01320006978</v>
      </c>
      <c r="X64" s="170">
        <f t="shared" si="330"/>
        <v>168313.128702727</v>
      </c>
      <c r="Y64" s="170">
        <f t="shared" si="330"/>
        <v>167320.23504549579</v>
      </c>
      <c r="Z64" s="170">
        <f t="shared" si="330"/>
        <v>166351.16075084277</v>
      </c>
      <c r="AA64" s="170">
        <f t="shared" si="330"/>
        <v>164970.94435762463</v>
      </c>
      <c r="AB64" s="170">
        <f t="shared" si="330"/>
        <v>163772.29445485925</v>
      </c>
      <c r="AC64" s="170">
        <f t="shared" si="330"/>
        <v>162670.69684585722</v>
      </c>
      <c r="AD64" s="170">
        <f t="shared" si="330"/>
        <v>161703.0877456879</v>
      </c>
      <c r="AE64" s="170">
        <f t="shared" si="330"/>
        <v>160821.43693707732</v>
      </c>
      <c r="AF64" s="170">
        <f t="shared" si="330"/>
        <v>160006.31836893657</v>
      </c>
      <c r="AG64" s="170">
        <f t="shared" si="330"/>
        <v>159291.78131972399</v>
      </c>
      <c r="AH64" s="170">
        <f t="shared" si="330"/>
        <v>158629.17029033016</v>
      </c>
      <c r="AI64" s="170">
        <f t="shared" si="330"/>
        <v>158024.82965640485</v>
      </c>
      <c r="AJ64" s="170">
        <f t="shared" si="330"/>
        <v>157481.20160528301</v>
      </c>
      <c r="AK64" s="170">
        <f t="shared" si="330"/>
        <v>156975.72656436882</v>
      </c>
      <c r="AL64" s="170">
        <f t="shared" si="330"/>
        <v>156505.75860275159</v>
      </c>
      <c r="AM64" s="170">
        <f t="shared" si="330"/>
        <v>131097.83394700091</v>
      </c>
      <c r="AN64" s="170">
        <f t="shared" si="330"/>
        <v>105926.67221229298</v>
      </c>
      <c r="AO64" s="170">
        <f t="shared" si="330"/>
        <v>80934.796455802556</v>
      </c>
      <c r="AP64" s="170">
        <f t="shared" si="330"/>
        <v>80933.292474863556</v>
      </c>
      <c r="AQ64" s="170">
        <f t="shared" si="330"/>
        <v>80934.365505595895</v>
      </c>
      <c r="AR64" s="170">
        <f t="shared" si="330"/>
        <v>80937.938885232652</v>
      </c>
      <c r="AS64" s="170">
        <f t="shared" si="330"/>
        <v>80943.943912074799</v>
      </c>
      <c r="AT64" s="170">
        <f t="shared" si="330"/>
        <v>80952.319297954949</v>
      </c>
      <c r="AU64" s="170">
        <f t="shared" si="330"/>
        <v>80963.010806918217</v>
      </c>
      <c r="AV64" s="170">
        <f t="shared" si="330"/>
        <v>80975.970816581525</v>
      </c>
      <c r="AW64" s="170">
        <f t="shared" si="330"/>
        <v>80986.419132831565</v>
      </c>
      <c r="AX64" s="170">
        <f t="shared" si="330"/>
        <v>80999.16738622883</v>
      </c>
      <c r="AY64" s="170">
        <f t="shared" si="330"/>
        <v>81014.173912199971</v>
      </c>
      <c r="AZ64" s="170">
        <f t="shared" si="330"/>
        <v>81026.612500979434</v>
      </c>
      <c r="BA64" s="170">
        <f t="shared" si="330"/>
        <v>81046.605649372184</v>
      </c>
      <c r="BB64" s="170">
        <f t="shared" si="330"/>
        <v>81068.690541123666</v>
      </c>
      <c r="BC64" s="170">
        <f t="shared" si="330"/>
        <v>81087.93599434424</v>
      </c>
      <c r="BD64" s="170">
        <f t="shared" si="330"/>
        <v>81087.93599434424</v>
      </c>
      <c r="BE64" s="170">
        <f t="shared" si="330"/>
        <v>81087.93599434424</v>
      </c>
      <c r="BF64" s="170">
        <f t="shared" si="330"/>
        <v>81087.93599434424</v>
      </c>
      <c r="BG64" s="170">
        <f t="shared" si="330"/>
        <v>81087.93599434424</v>
      </c>
      <c r="BH64" s="170">
        <f t="shared" si="330"/>
        <v>81087.93599434424</v>
      </c>
      <c r="BI64" s="88"/>
    </row>
    <row r="65" spans="1:61" s="91" customFormat="1" x14ac:dyDescent="0.2">
      <c r="A65" s="99" t="s">
        <v>631</v>
      </c>
      <c r="B65" s="127"/>
      <c r="C65" s="92">
        <v>0</v>
      </c>
      <c r="D65" s="92">
        <v>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2">
        <v>0</v>
      </c>
      <c r="V65" s="92">
        <v>0</v>
      </c>
      <c r="W65" s="92">
        <v>0</v>
      </c>
      <c r="X65" s="92">
        <v>0</v>
      </c>
      <c r="Y65" s="92">
        <v>0</v>
      </c>
      <c r="Z65" s="92">
        <v>0</v>
      </c>
      <c r="AA65" s="92">
        <v>0</v>
      </c>
      <c r="AB65" s="92">
        <v>0</v>
      </c>
      <c r="AC65" s="92">
        <v>0</v>
      </c>
      <c r="AD65" s="92">
        <v>0</v>
      </c>
      <c r="AE65" s="92">
        <v>0</v>
      </c>
      <c r="AF65" s="92">
        <v>0</v>
      </c>
      <c r="AG65" s="92">
        <v>0</v>
      </c>
      <c r="AH65" s="92">
        <v>0</v>
      </c>
      <c r="AI65" s="92">
        <v>0</v>
      </c>
      <c r="AJ65" s="92">
        <v>0</v>
      </c>
      <c r="AK65" s="92">
        <v>0</v>
      </c>
      <c r="AL65" s="92">
        <v>0</v>
      </c>
      <c r="AM65" s="92">
        <v>0</v>
      </c>
      <c r="AN65" s="92">
        <v>0</v>
      </c>
      <c r="AO65" s="92">
        <v>0</v>
      </c>
      <c r="AP65" s="92">
        <v>0</v>
      </c>
      <c r="AQ65" s="92">
        <v>0</v>
      </c>
      <c r="AR65" s="92">
        <v>0</v>
      </c>
      <c r="AS65" s="92">
        <v>0</v>
      </c>
      <c r="AT65" s="92">
        <v>0</v>
      </c>
      <c r="AU65" s="92">
        <v>0</v>
      </c>
      <c r="AV65" s="92">
        <v>0</v>
      </c>
      <c r="AW65" s="92">
        <v>0</v>
      </c>
      <c r="AX65" s="92">
        <v>0</v>
      </c>
      <c r="AY65" s="92">
        <v>0</v>
      </c>
      <c r="AZ65" s="92">
        <v>0</v>
      </c>
      <c r="BA65" s="92">
        <v>0</v>
      </c>
      <c r="BB65" s="92">
        <v>0</v>
      </c>
      <c r="BC65" s="92">
        <v>0</v>
      </c>
      <c r="BD65" s="92">
        <v>0</v>
      </c>
      <c r="BE65" s="92">
        <v>0</v>
      </c>
      <c r="BF65" s="92">
        <v>0</v>
      </c>
      <c r="BG65" s="92">
        <v>0</v>
      </c>
      <c r="BH65" s="92">
        <v>0</v>
      </c>
      <c r="BI65" s="92"/>
    </row>
    <row r="66" spans="1:61" s="91" customFormat="1" x14ac:dyDescent="0.2">
      <c r="A66" s="99" t="s">
        <v>618</v>
      </c>
      <c r="B66" s="157">
        <v>0</v>
      </c>
      <c r="C66" s="162">
        <v>600</v>
      </c>
      <c r="D66" s="96">
        <f t="shared" ref="D66:AO66" si="331" xml:space="preserve"> C66 + $B66</f>
        <v>600</v>
      </c>
      <c r="E66" s="96">
        <f t="shared" si="331"/>
        <v>600</v>
      </c>
      <c r="F66" s="96">
        <f t="shared" si="331"/>
        <v>600</v>
      </c>
      <c r="G66" s="96">
        <f t="shared" si="331"/>
        <v>600</v>
      </c>
      <c r="H66" s="96">
        <f t="shared" si="331"/>
        <v>600</v>
      </c>
      <c r="I66" s="96">
        <f t="shared" si="331"/>
        <v>600</v>
      </c>
      <c r="J66" s="96">
        <f t="shared" si="331"/>
        <v>600</v>
      </c>
      <c r="K66" s="96">
        <f t="shared" si="331"/>
        <v>600</v>
      </c>
      <c r="L66" s="96">
        <f t="shared" si="331"/>
        <v>600</v>
      </c>
      <c r="M66" s="96">
        <f t="shared" si="331"/>
        <v>600</v>
      </c>
      <c r="N66" s="96">
        <f t="shared" si="331"/>
        <v>600</v>
      </c>
      <c r="O66" s="96">
        <f t="shared" si="331"/>
        <v>600</v>
      </c>
      <c r="P66" s="96">
        <f t="shared" si="331"/>
        <v>600</v>
      </c>
      <c r="Q66" s="96">
        <f t="shared" si="331"/>
        <v>600</v>
      </c>
      <c r="R66" s="96">
        <f t="shared" si="331"/>
        <v>600</v>
      </c>
      <c r="S66" s="96">
        <f t="shared" si="331"/>
        <v>600</v>
      </c>
      <c r="T66" s="96">
        <f t="shared" si="331"/>
        <v>600</v>
      </c>
      <c r="U66" s="96">
        <f t="shared" si="331"/>
        <v>600</v>
      </c>
      <c r="V66" s="96">
        <f t="shared" si="331"/>
        <v>600</v>
      </c>
      <c r="W66" s="96">
        <f t="shared" si="331"/>
        <v>600</v>
      </c>
      <c r="X66" s="96">
        <f t="shared" si="331"/>
        <v>600</v>
      </c>
      <c r="Y66" s="96">
        <f t="shared" si="331"/>
        <v>600</v>
      </c>
      <c r="Z66" s="96">
        <f t="shared" si="331"/>
        <v>600</v>
      </c>
      <c r="AA66" s="96">
        <f t="shared" si="331"/>
        <v>600</v>
      </c>
      <c r="AB66" s="96">
        <f t="shared" si="331"/>
        <v>600</v>
      </c>
      <c r="AC66" s="96">
        <f t="shared" si="331"/>
        <v>600</v>
      </c>
      <c r="AD66" s="96">
        <f t="shared" si="331"/>
        <v>600</v>
      </c>
      <c r="AE66" s="96">
        <f t="shared" si="331"/>
        <v>600</v>
      </c>
      <c r="AF66" s="96">
        <f t="shared" si="331"/>
        <v>600</v>
      </c>
      <c r="AG66" s="96">
        <f t="shared" si="331"/>
        <v>600</v>
      </c>
      <c r="AH66" s="96">
        <f t="shared" si="331"/>
        <v>600</v>
      </c>
      <c r="AI66" s="96">
        <f t="shared" si="331"/>
        <v>600</v>
      </c>
      <c r="AJ66" s="96">
        <f t="shared" si="331"/>
        <v>600</v>
      </c>
      <c r="AK66" s="96">
        <f t="shared" si="331"/>
        <v>600</v>
      </c>
      <c r="AL66" s="96">
        <f t="shared" si="331"/>
        <v>600</v>
      </c>
      <c r="AM66" s="96">
        <f t="shared" si="331"/>
        <v>600</v>
      </c>
      <c r="AN66" s="96">
        <f t="shared" si="331"/>
        <v>600</v>
      </c>
      <c r="AO66" s="96">
        <f t="shared" si="331"/>
        <v>600</v>
      </c>
      <c r="AP66" s="96">
        <f t="shared" ref="AP66" si="332" xml:space="preserve"> AO66 + $B66</f>
        <v>600</v>
      </c>
      <c r="AQ66" s="96">
        <f t="shared" ref="AQ66" si="333" xml:space="preserve"> AP66 + $B66</f>
        <v>600</v>
      </c>
      <c r="AR66" s="96">
        <f t="shared" ref="AR66" si="334" xml:space="preserve"> AQ66 + $B66</f>
        <v>600</v>
      </c>
      <c r="AS66" s="96">
        <f t="shared" ref="AS66" si="335" xml:space="preserve"> AR66 + $B66</f>
        <v>600</v>
      </c>
      <c r="AT66" s="96">
        <f t="shared" ref="AT66" si="336" xml:space="preserve"> AS66 + $B66</f>
        <v>600</v>
      </c>
      <c r="AU66" s="96">
        <f t="shared" ref="AU66" si="337" xml:space="preserve"> AT66 + $B66</f>
        <v>600</v>
      </c>
      <c r="AV66" s="96">
        <f t="shared" ref="AV66" si="338" xml:space="preserve"> AU66 + $B66</f>
        <v>600</v>
      </c>
      <c r="AW66" s="96">
        <f t="shared" ref="AW66" si="339" xml:space="preserve"> AV66 + $B66</f>
        <v>600</v>
      </c>
      <c r="AX66" s="96">
        <f t="shared" ref="AX66" si="340" xml:space="preserve"> AW66 + $B66</f>
        <v>600</v>
      </c>
      <c r="AY66" s="96">
        <f t="shared" ref="AY66" si="341" xml:space="preserve"> AX66 + $B66</f>
        <v>600</v>
      </c>
      <c r="AZ66" s="96">
        <f t="shared" ref="AZ66" si="342" xml:space="preserve"> AY66 + $B66</f>
        <v>600</v>
      </c>
      <c r="BA66" s="96">
        <f t="shared" ref="BA66" si="343" xml:space="preserve"> AZ66 + $B66</f>
        <v>600</v>
      </c>
      <c r="BB66" s="96">
        <f t="shared" ref="BB66" si="344" xml:space="preserve"> BA66 + $B66</f>
        <v>600</v>
      </c>
      <c r="BC66" s="96">
        <f t="shared" ref="BC66" si="345" xml:space="preserve"> BB66 + $B66</f>
        <v>600</v>
      </c>
      <c r="BD66" s="96">
        <f t="shared" ref="BD66" si="346" xml:space="preserve"> BC66 + $B66</f>
        <v>600</v>
      </c>
      <c r="BE66" s="96">
        <f t="shared" ref="BE66" si="347" xml:space="preserve"> BD66 + $B66</f>
        <v>600</v>
      </c>
      <c r="BF66" s="96">
        <f t="shared" ref="BF66" si="348" xml:space="preserve"> BE66 + $B66</f>
        <v>600</v>
      </c>
      <c r="BG66" s="96">
        <f t="shared" ref="BG66:BH66" si="349" xml:space="preserve"> BF66 + $B66</f>
        <v>600</v>
      </c>
      <c r="BH66" s="96">
        <f t="shared" si="349"/>
        <v>600</v>
      </c>
      <c r="BI66" s="92"/>
    </row>
    <row r="67" spans="1:61" s="72" customFormat="1" x14ac:dyDescent="0.2">
      <c r="A67" s="158" t="s">
        <v>619</v>
      </c>
      <c r="B67" s="159"/>
      <c r="C67" s="97">
        <f xml:space="preserve"> C65 * C66</f>
        <v>0</v>
      </c>
      <c r="D67" s="97">
        <f t="shared" ref="D67:L67" si="350" xml:space="preserve"> D65 * D66</f>
        <v>0</v>
      </c>
      <c r="E67" s="97">
        <f t="shared" si="350"/>
        <v>0</v>
      </c>
      <c r="F67" s="97">
        <f t="shared" si="350"/>
        <v>0</v>
      </c>
      <c r="G67" s="97">
        <f t="shared" si="350"/>
        <v>0</v>
      </c>
      <c r="H67" s="97">
        <f t="shared" si="350"/>
        <v>0</v>
      </c>
      <c r="I67" s="97">
        <f t="shared" si="350"/>
        <v>0</v>
      </c>
      <c r="J67" s="97">
        <f t="shared" si="350"/>
        <v>0</v>
      </c>
      <c r="K67" s="97">
        <f t="shared" si="350"/>
        <v>0</v>
      </c>
      <c r="L67" s="97">
        <f t="shared" si="350"/>
        <v>0</v>
      </c>
      <c r="M67" s="97">
        <f t="shared" ref="M67:BH67" si="351" xml:space="preserve"> M65 * M66</f>
        <v>0</v>
      </c>
      <c r="N67" s="97">
        <f t="shared" si="351"/>
        <v>0</v>
      </c>
      <c r="O67" s="97">
        <f t="shared" si="351"/>
        <v>0</v>
      </c>
      <c r="P67" s="97">
        <f t="shared" si="351"/>
        <v>0</v>
      </c>
      <c r="Q67" s="97">
        <f t="shared" si="351"/>
        <v>0</v>
      </c>
      <c r="R67" s="97">
        <f t="shared" si="351"/>
        <v>0</v>
      </c>
      <c r="S67" s="97">
        <f t="shared" si="351"/>
        <v>0</v>
      </c>
      <c r="T67" s="97">
        <f t="shared" si="351"/>
        <v>0</v>
      </c>
      <c r="U67" s="97">
        <f t="shared" si="351"/>
        <v>0</v>
      </c>
      <c r="V67" s="97">
        <f t="shared" si="351"/>
        <v>0</v>
      </c>
      <c r="W67" s="97">
        <f t="shared" si="351"/>
        <v>0</v>
      </c>
      <c r="X67" s="97">
        <f t="shared" si="351"/>
        <v>0</v>
      </c>
      <c r="Y67" s="97">
        <f t="shared" si="351"/>
        <v>0</v>
      </c>
      <c r="Z67" s="97">
        <f t="shared" si="351"/>
        <v>0</v>
      </c>
      <c r="AA67" s="97">
        <f t="shared" si="351"/>
        <v>0</v>
      </c>
      <c r="AB67" s="97">
        <f t="shared" si="351"/>
        <v>0</v>
      </c>
      <c r="AC67" s="97">
        <f t="shared" si="351"/>
        <v>0</v>
      </c>
      <c r="AD67" s="97">
        <f t="shared" si="351"/>
        <v>0</v>
      </c>
      <c r="AE67" s="97">
        <f t="shared" si="351"/>
        <v>0</v>
      </c>
      <c r="AF67" s="97">
        <f t="shared" si="351"/>
        <v>0</v>
      </c>
      <c r="AG67" s="97">
        <f t="shared" si="351"/>
        <v>0</v>
      </c>
      <c r="AH67" s="97">
        <f t="shared" si="351"/>
        <v>0</v>
      </c>
      <c r="AI67" s="97">
        <f t="shared" si="351"/>
        <v>0</v>
      </c>
      <c r="AJ67" s="97">
        <f t="shared" si="351"/>
        <v>0</v>
      </c>
      <c r="AK67" s="97">
        <f t="shared" si="351"/>
        <v>0</v>
      </c>
      <c r="AL67" s="97">
        <f t="shared" si="351"/>
        <v>0</v>
      </c>
      <c r="AM67" s="97">
        <f t="shared" si="351"/>
        <v>0</v>
      </c>
      <c r="AN67" s="97">
        <f t="shared" si="351"/>
        <v>0</v>
      </c>
      <c r="AO67" s="97">
        <f t="shared" si="351"/>
        <v>0</v>
      </c>
      <c r="AP67" s="97">
        <f t="shared" si="351"/>
        <v>0</v>
      </c>
      <c r="AQ67" s="97">
        <f t="shared" si="351"/>
        <v>0</v>
      </c>
      <c r="AR67" s="97">
        <f t="shared" si="351"/>
        <v>0</v>
      </c>
      <c r="AS67" s="97">
        <f t="shared" si="351"/>
        <v>0</v>
      </c>
      <c r="AT67" s="97">
        <f t="shared" si="351"/>
        <v>0</v>
      </c>
      <c r="AU67" s="97">
        <f t="shared" si="351"/>
        <v>0</v>
      </c>
      <c r="AV67" s="97">
        <f t="shared" si="351"/>
        <v>0</v>
      </c>
      <c r="AW67" s="97">
        <f t="shared" si="351"/>
        <v>0</v>
      </c>
      <c r="AX67" s="97">
        <f t="shared" si="351"/>
        <v>0</v>
      </c>
      <c r="AY67" s="97">
        <f t="shared" si="351"/>
        <v>0</v>
      </c>
      <c r="AZ67" s="97">
        <f t="shared" si="351"/>
        <v>0</v>
      </c>
      <c r="BA67" s="97">
        <f t="shared" si="351"/>
        <v>0</v>
      </c>
      <c r="BB67" s="97">
        <f t="shared" si="351"/>
        <v>0</v>
      </c>
      <c r="BC67" s="97">
        <f t="shared" si="351"/>
        <v>0</v>
      </c>
      <c r="BD67" s="97">
        <f t="shared" si="351"/>
        <v>0</v>
      </c>
      <c r="BE67" s="97">
        <f t="shared" si="351"/>
        <v>0</v>
      </c>
      <c r="BF67" s="97">
        <f t="shared" si="351"/>
        <v>0</v>
      </c>
      <c r="BG67" s="97">
        <f t="shared" si="351"/>
        <v>0</v>
      </c>
      <c r="BH67" s="97">
        <f t="shared" si="351"/>
        <v>0</v>
      </c>
      <c r="BI67" s="81"/>
    </row>
    <row r="68" spans="1:61" x14ac:dyDescent="0.2">
      <c r="A68" s="6"/>
      <c r="B68" s="12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1:61" x14ac:dyDescent="0.2">
      <c r="A69" t="s">
        <v>20</v>
      </c>
      <c r="B69" s="31"/>
      <c r="C69" s="94">
        <f t="shared" ref="C69" si="352" xml:space="preserve"> D70</f>
        <v>0</v>
      </c>
      <c r="D69" s="94">
        <f t="shared" ref="D69" si="353" xml:space="preserve"> E70</f>
        <v>0</v>
      </c>
      <c r="E69" s="94">
        <f t="shared" ref="E69" si="354" xml:space="preserve"> F70</f>
        <v>1</v>
      </c>
      <c r="F69" s="94">
        <f t="shared" ref="F69" si="355" xml:space="preserve"> G70</f>
        <v>1</v>
      </c>
      <c r="G69" s="94">
        <f t="shared" ref="G69" si="356" xml:space="preserve"> H70</f>
        <v>0</v>
      </c>
      <c r="H69" s="94">
        <f t="shared" ref="H69" si="357" xml:space="preserve"> I70</f>
        <v>0</v>
      </c>
      <c r="I69" s="94">
        <f t="shared" ref="I69" si="358" xml:space="preserve"> J70</f>
        <v>0</v>
      </c>
      <c r="J69" s="94">
        <f t="shared" ref="J69" si="359" xml:space="preserve"> K70</f>
        <v>0</v>
      </c>
      <c r="K69" s="94">
        <f t="shared" ref="K69" si="360" xml:space="preserve"> L70</f>
        <v>0</v>
      </c>
      <c r="L69" s="94">
        <f t="shared" ref="L69" si="361" xml:space="preserve"> M70</f>
        <v>0</v>
      </c>
      <c r="M69" s="94">
        <f t="shared" ref="M69" si="362" xml:space="preserve"> N70</f>
        <v>0</v>
      </c>
      <c r="N69" s="94">
        <f t="shared" ref="N69" si="363" xml:space="preserve"> O70</f>
        <v>0</v>
      </c>
      <c r="O69" s="94">
        <f t="shared" ref="O69" si="364" xml:space="preserve"> P70</f>
        <v>0</v>
      </c>
      <c r="P69" s="94">
        <f t="shared" ref="P69" si="365" xml:space="preserve"> Q70</f>
        <v>0</v>
      </c>
      <c r="Q69" s="94">
        <f t="shared" ref="Q69" si="366" xml:space="preserve"> R70</f>
        <v>0</v>
      </c>
      <c r="R69" s="94">
        <f t="shared" ref="R69" si="367" xml:space="preserve"> S70</f>
        <v>0</v>
      </c>
      <c r="S69" s="94">
        <f t="shared" ref="S69" si="368" xml:space="preserve"> T70</f>
        <v>0</v>
      </c>
      <c r="T69" s="94">
        <f t="shared" ref="T69" si="369" xml:space="preserve"> U70</f>
        <v>0</v>
      </c>
      <c r="U69" s="94">
        <f t="shared" ref="U69" si="370" xml:space="preserve"> V70</f>
        <v>0</v>
      </c>
      <c r="V69" s="94">
        <f t="shared" ref="V69" si="371" xml:space="preserve"> W70</f>
        <v>0</v>
      </c>
      <c r="W69" s="94">
        <f t="shared" ref="W69" si="372" xml:space="preserve"> X70</f>
        <v>0</v>
      </c>
      <c r="X69" s="94">
        <f t="shared" ref="X69" si="373" xml:space="preserve"> Y70</f>
        <v>0</v>
      </c>
      <c r="Y69" s="94">
        <f t="shared" ref="Y69" si="374" xml:space="preserve"> Z70</f>
        <v>0</v>
      </c>
      <c r="Z69" s="94">
        <f t="shared" ref="Z69" si="375" xml:space="preserve"> AA70</f>
        <v>0</v>
      </c>
      <c r="AA69" s="94">
        <f t="shared" ref="AA69" si="376" xml:space="preserve"> AB70</f>
        <v>0</v>
      </c>
      <c r="AB69" s="94">
        <f t="shared" ref="AB69" si="377" xml:space="preserve"> AC70</f>
        <v>0</v>
      </c>
      <c r="AC69" s="94">
        <f t="shared" ref="AC69" si="378" xml:space="preserve"> AD70</f>
        <v>0</v>
      </c>
      <c r="AD69" s="94">
        <f t="shared" ref="AD69" si="379" xml:space="preserve"> AE70</f>
        <v>0</v>
      </c>
      <c r="AE69" s="94">
        <f t="shared" ref="AE69" si="380" xml:space="preserve"> AF70</f>
        <v>0</v>
      </c>
      <c r="AF69" s="94">
        <f t="shared" ref="AF69" si="381" xml:space="preserve"> AG70</f>
        <v>0</v>
      </c>
      <c r="AG69" s="94">
        <f t="shared" ref="AG69" si="382" xml:space="preserve"> AH70</f>
        <v>0</v>
      </c>
      <c r="AH69" s="94">
        <f t="shared" ref="AH69" si="383" xml:space="preserve"> AI70</f>
        <v>0</v>
      </c>
      <c r="AI69" s="94">
        <f t="shared" ref="AI69" si="384" xml:space="preserve"> AJ70</f>
        <v>0</v>
      </c>
      <c r="AJ69" s="94">
        <f t="shared" ref="AJ69" si="385" xml:space="preserve"> AK70</f>
        <v>0</v>
      </c>
      <c r="AK69" s="94">
        <f t="shared" ref="AK69" si="386" xml:space="preserve"> AL70</f>
        <v>0</v>
      </c>
      <c r="AL69" s="94">
        <f t="shared" ref="AL69" si="387" xml:space="preserve"> AM70</f>
        <v>0</v>
      </c>
      <c r="AM69" s="94">
        <f t="shared" ref="AM69" si="388" xml:space="preserve"> AN70</f>
        <v>0</v>
      </c>
      <c r="AN69" s="94">
        <f t="shared" ref="AN69" si="389" xml:space="preserve"> AO70</f>
        <v>0</v>
      </c>
      <c r="AO69" s="94">
        <f t="shared" ref="AO69" si="390" xml:space="preserve"> AP70</f>
        <v>0</v>
      </c>
      <c r="AP69" s="94">
        <f t="shared" ref="AP69" si="391" xml:space="preserve"> AQ70</f>
        <v>0</v>
      </c>
      <c r="AQ69" s="94">
        <f t="shared" ref="AQ69" si="392" xml:space="preserve"> AR70</f>
        <v>0</v>
      </c>
      <c r="AR69" s="94">
        <f t="shared" ref="AR69" si="393" xml:space="preserve"> AS70</f>
        <v>0</v>
      </c>
      <c r="AS69" s="94">
        <f t="shared" ref="AS69" si="394" xml:space="preserve"> AT70</f>
        <v>0</v>
      </c>
      <c r="AT69" s="94">
        <f t="shared" ref="AT69" si="395" xml:space="preserve"> AU70</f>
        <v>0</v>
      </c>
      <c r="AU69" s="94">
        <f t="shared" ref="AU69" si="396" xml:space="preserve"> AV70</f>
        <v>0</v>
      </c>
      <c r="AV69" s="94">
        <f t="shared" ref="AV69" si="397" xml:space="preserve"> AW70</f>
        <v>0</v>
      </c>
      <c r="AW69" s="94">
        <f t="shared" ref="AW69" si="398" xml:space="preserve"> AX70</f>
        <v>0</v>
      </c>
      <c r="AX69" s="94">
        <f t="shared" ref="AX69" si="399" xml:space="preserve"> AY70</f>
        <v>0</v>
      </c>
      <c r="AY69" s="94">
        <f t="shared" ref="AY69" si="400" xml:space="preserve"> AZ70</f>
        <v>0</v>
      </c>
      <c r="AZ69" s="94">
        <f t="shared" ref="AZ69" si="401" xml:space="preserve"> BA70</f>
        <v>0</v>
      </c>
      <c r="BA69" s="94">
        <f t="shared" ref="BA69" si="402" xml:space="preserve"> BB70</f>
        <v>0</v>
      </c>
      <c r="BB69" s="94">
        <f t="shared" ref="BB69" si="403" xml:space="preserve"> BC70</f>
        <v>0</v>
      </c>
      <c r="BC69" s="94">
        <f t="shared" ref="BC69" si="404" xml:space="preserve"> BD70</f>
        <v>0</v>
      </c>
      <c r="BD69" s="94">
        <f t="shared" ref="BD69" si="405" xml:space="preserve"> BE70</f>
        <v>0</v>
      </c>
      <c r="BE69" s="94">
        <f t="shared" ref="BE69" si="406" xml:space="preserve"> BF70</f>
        <v>0</v>
      </c>
      <c r="BF69" s="94">
        <f t="shared" ref="BF69" si="407" xml:space="preserve"> BG70</f>
        <v>0</v>
      </c>
      <c r="BG69" s="94">
        <f t="shared" ref="BG69" si="408" xml:space="preserve"> BH70</f>
        <v>0</v>
      </c>
      <c r="BH69" s="94">
        <f t="shared" ref="BH69" si="409" xml:space="preserve"> BI70</f>
        <v>0</v>
      </c>
    </row>
    <row r="70" spans="1:61" x14ac:dyDescent="0.2">
      <c r="A70" t="s">
        <v>21</v>
      </c>
      <c r="B70" s="31"/>
      <c r="C70" s="94">
        <f xml:space="preserve"> IF(D71-C71 &gt; 0, D71-C71,0)</f>
        <v>0</v>
      </c>
      <c r="D70" s="94">
        <f t="shared" ref="D70:BH70" si="410" xml:space="preserve"> IF(E71-D71 &gt; 0, E71-D71,0)</f>
        <v>0</v>
      </c>
      <c r="E70" s="94">
        <f t="shared" si="410"/>
        <v>0</v>
      </c>
      <c r="F70" s="94">
        <f t="shared" si="410"/>
        <v>1</v>
      </c>
      <c r="G70" s="94">
        <f t="shared" si="410"/>
        <v>1</v>
      </c>
      <c r="H70" s="94">
        <f t="shared" si="410"/>
        <v>0</v>
      </c>
      <c r="I70" s="94">
        <f t="shared" si="410"/>
        <v>0</v>
      </c>
      <c r="J70" s="94">
        <f t="shared" si="410"/>
        <v>0</v>
      </c>
      <c r="K70" s="94">
        <f t="shared" si="410"/>
        <v>0</v>
      </c>
      <c r="L70" s="94">
        <f t="shared" si="410"/>
        <v>0</v>
      </c>
      <c r="M70" s="94">
        <f t="shared" si="410"/>
        <v>0</v>
      </c>
      <c r="N70" s="94">
        <f t="shared" si="410"/>
        <v>0</v>
      </c>
      <c r="O70" s="94">
        <f t="shared" si="410"/>
        <v>0</v>
      </c>
      <c r="P70" s="94">
        <f t="shared" si="410"/>
        <v>0</v>
      </c>
      <c r="Q70" s="94">
        <f t="shared" si="410"/>
        <v>0</v>
      </c>
      <c r="R70" s="94">
        <f t="shared" si="410"/>
        <v>0</v>
      </c>
      <c r="S70" s="94">
        <f t="shared" si="410"/>
        <v>0</v>
      </c>
      <c r="T70" s="94">
        <f t="shared" si="410"/>
        <v>0</v>
      </c>
      <c r="U70" s="94">
        <f t="shared" si="410"/>
        <v>0</v>
      </c>
      <c r="V70" s="94">
        <f t="shared" si="410"/>
        <v>0</v>
      </c>
      <c r="W70" s="94">
        <f t="shared" si="410"/>
        <v>0</v>
      </c>
      <c r="X70" s="94">
        <f t="shared" si="410"/>
        <v>0</v>
      </c>
      <c r="Y70" s="94">
        <f t="shared" si="410"/>
        <v>0</v>
      </c>
      <c r="Z70" s="94">
        <f t="shared" si="410"/>
        <v>0</v>
      </c>
      <c r="AA70" s="94">
        <f t="shared" si="410"/>
        <v>0</v>
      </c>
      <c r="AB70" s="94">
        <f t="shared" si="410"/>
        <v>0</v>
      </c>
      <c r="AC70" s="94">
        <f t="shared" si="410"/>
        <v>0</v>
      </c>
      <c r="AD70" s="94">
        <f t="shared" si="410"/>
        <v>0</v>
      </c>
      <c r="AE70" s="94">
        <f t="shared" si="410"/>
        <v>0</v>
      </c>
      <c r="AF70" s="94">
        <f t="shared" si="410"/>
        <v>0</v>
      </c>
      <c r="AG70" s="94">
        <f t="shared" si="410"/>
        <v>0</v>
      </c>
      <c r="AH70" s="94">
        <f t="shared" si="410"/>
        <v>0</v>
      </c>
      <c r="AI70" s="94">
        <f t="shared" si="410"/>
        <v>0</v>
      </c>
      <c r="AJ70" s="94">
        <f t="shared" si="410"/>
        <v>0</v>
      </c>
      <c r="AK70" s="94">
        <f t="shared" si="410"/>
        <v>0</v>
      </c>
      <c r="AL70" s="94">
        <f t="shared" si="410"/>
        <v>0</v>
      </c>
      <c r="AM70" s="94">
        <f t="shared" si="410"/>
        <v>0</v>
      </c>
      <c r="AN70" s="94">
        <f t="shared" si="410"/>
        <v>0</v>
      </c>
      <c r="AO70" s="94">
        <f t="shared" si="410"/>
        <v>0</v>
      </c>
      <c r="AP70" s="94">
        <f t="shared" si="410"/>
        <v>0</v>
      </c>
      <c r="AQ70" s="94">
        <f t="shared" si="410"/>
        <v>0</v>
      </c>
      <c r="AR70" s="94">
        <f t="shared" si="410"/>
        <v>0</v>
      </c>
      <c r="AS70" s="94">
        <f t="shared" si="410"/>
        <v>0</v>
      </c>
      <c r="AT70" s="94">
        <f t="shared" si="410"/>
        <v>0</v>
      </c>
      <c r="AU70" s="94">
        <f t="shared" si="410"/>
        <v>0</v>
      </c>
      <c r="AV70" s="94">
        <f t="shared" si="410"/>
        <v>0</v>
      </c>
      <c r="AW70" s="94">
        <f t="shared" si="410"/>
        <v>0</v>
      </c>
      <c r="AX70" s="94">
        <f t="shared" si="410"/>
        <v>0</v>
      </c>
      <c r="AY70" s="94">
        <f t="shared" si="410"/>
        <v>0</v>
      </c>
      <c r="AZ70" s="94">
        <f t="shared" si="410"/>
        <v>0</v>
      </c>
      <c r="BA70" s="94">
        <f t="shared" si="410"/>
        <v>0</v>
      </c>
      <c r="BB70" s="94">
        <f t="shared" si="410"/>
        <v>0</v>
      </c>
      <c r="BC70" s="94">
        <f t="shared" si="410"/>
        <v>0</v>
      </c>
      <c r="BD70" s="94">
        <f t="shared" si="410"/>
        <v>0</v>
      </c>
      <c r="BE70" s="94">
        <f t="shared" si="410"/>
        <v>0</v>
      </c>
      <c r="BF70" s="94">
        <f t="shared" si="410"/>
        <v>0</v>
      </c>
      <c r="BG70" s="94">
        <f t="shared" si="410"/>
        <v>0</v>
      </c>
      <c r="BH70" s="94">
        <f t="shared" si="410"/>
        <v>0</v>
      </c>
    </row>
    <row r="71" spans="1:61" x14ac:dyDescent="0.2">
      <c r="A71" t="s">
        <v>22</v>
      </c>
      <c r="B71">
        <v>2</v>
      </c>
      <c r="C71">
        <f xml:space="preserve"> IF(C1&gt;$C$1+3, IF(B71&lt;$B71, B71+1, $B71), 0)</f>
        <v>0</v>
      </c>
      <c r="D71">
        <f t="shared" ref="D71:BH71" si="411" xml:space="preserve"> IF(D1&gt;$C$1+3, IF(C71&lt;$B71, C71+1, $B71), 0)</f>
        <v>0</v>
      </c>
      <c r="E71">
        <f t="shared" si="411"/>
        <v>0</v>
      </c>
      <c r="F71">
        <f t="shared" si="411"/>
        <v>0</v>
      </c>
      <c r="G71">
        <f t="shared" si="411"/>
        <v>1</v>
      </c>
      <c r="H71">
        <f t="shared" si="411"/>
        <v>2</v>
      </c>
      <c r="I71">
        <f t="shared" si="411"/>
        <v>2</v>
      </c>
      <c r="J71">
        <f t="shared" si="411"/>
        <v>2</v>
      </c>
      <c r="K71">
        <f t="shared" si="411"/>
        <v>2</v>
      </c>
      <c r="L71">
        <f t="shared" si="411"/>
        <v>2</v>
      </c>
      <c r="M71">
        <f t="shared" si="411"/>
        <v>2</v>
      </c>
      <c r="N71">
        <f t="shared" si="411"/>
        <v>2</v>
      </c>
      <c r="O71">
        <f t="shared" si="411"/>
        <v>2</v>
      </c>
      <c r="P71">
        <f t="shared" si="411"/>
        <v>2</v>
      </c>
      <c r="Q71">
        <f t="shared" si="411"/>
        <v>2</v>
      </c>
      <c r="R71">
        <f t="shared" si="411"/>
        <v>2</v>
      </c>
      <c r="S71">
        <f t="shared" si="411"/>
        <v>2</v>
      </c>
      <c r="T71">
        <f t="shared" si="411"/>
        <v>2</v>
      </c>
      <c r="U71">
        <f t="shared" si="411"/>
        <v>2</v>
      </c>
      <c r="V71">
        <f t="shared" si="411"/>
        <v>2</v>
      </c>
      <c r="W71">
        <f t="shared" si="411"/>
        <v>2</v>
      </c>
      <c r="X71">
        <f t="shared" si="411"/>
        <v>2</v>
      </c>
      <c r="Y71">
        <f t="shared" si="411"/>
        <v>2</v>
      </c>
      <c r="Z71">
        <f t="shared" si="411"/>
        <v>2</v>
      </c>
      <c r="AA71">
        <f t="shared" si="411"/>
        <v>2</v>
      </c>
      <c r="AB71">
        <f t="shared" si="411"/>
        <v>2</v>
      </c>
      <c r="AC71">
        <f t="shared" si="411"/>
        <v>2</v>
      </c>
      <c r="AD71">
        <f t="shared" si="411"/>
        <v>2</v>
      </c>
      <c r="AE71">
        <f t="shared" si="411"/>
        <v>2</v>
      </c>
      <c r="AF71">
        <f t="shared" si="411"/>
        <v>2</v>
      </c>
      <c r="AG71">
        <f t="shared" si="411"/>
        <v>2</v>
      </c>
      <c r="AH71">
        <f t="shared" si="411"/>
        <v>2</v>
      </c>
      <c r="AI71">
        <f t="shared" si="411"/>
        <v>2</v>
      </c>
      <c r="AJ71">
        <f t="shared" si="411"/>
        <v>2</v>
      </c>
      <c r="AK71">
        <f t="shared" si="411"/>
        <v>2</v>
      </c>
      <c r="AL71">
        <f t="shared" si="411"/>
        <v>2</v>
      </c>
      <c r="AM71">
        <f t="shared" si="411"/>
        <v>2</v>
      </c>
      <c r="AN71">
        <f t="shared" si="411"/>
        <v>2</v>
      </c>
      <c r="AO71">
        <f t="shared" si="411"/>
        <v>2</v>
      </c>
      <c r="AP71">
        <f t="shared" si="411"/>
        <v>2</v>
      </c>
      <c r="AQ71">
        <f t="shared" si="411"/>
        <v>2</v>
      </c>
      <c r="AR71">
        <f t="shared" si="411"/>
        <v>2</v>
      </c>
      <c r="AS71">
        <f t="shared" si="411"/>
        <v>2</v>
      </c>
      <c r="AT71">
        <f t="shared" si="411"/>
        <v>2</v>
      </c>
      <c r="AU71">
        <f t="shared" si="411"/>
        <v>2</v>
      </c>
      <c r="AV71">
        <f t="shared" si="411"/>
        <v>2</v>
      </c>
      <c r="AW71">
        <f t="shared" si="411"/>
        <v>2</v>
      </c>
      <c r="AX71">
        <f t="shared" si="411"/>
        <v>2</v>
      </c>
      <c r="AY71">
        <f t="shared" si="411"/>
        <v>2</v>
      </c>
      <c r="AZ71">
        <f t="shared" si="411"/>
        <v>2</v>
      </c>
      <c r="BA71">
        <f t="shared" si="411"/>
        <v>2</v>
      </c>
      <c r="BB71">
        <f t="shared" si="411"/>
        <v>2</v>
      </c>
      <c r="BC71">
        <f t="shared" si="411"/>
        <v>2</v>
      </c>
      <c r="BD71">
        <f t="shared" si="411"/>
        <v>2</v>
      </c>
      <c r="BE71">
        <f t="shared" si="411"/>
        <v>2</v>
      </c>
      <c r="BF71">
        <f t="shared" si="411"/>
        <v>2</v>
      </c>
      <c r="BG71">
        <f t="shared" si="411"/>
        <v>2</v>
      </c>
      <c r="BH71">
        <f t="shared" si="411"/>
        <v>2</v>
      </c>
    </row>
    <row r="72" spans="1:61" s="74" customFormat="1" x14ac:dyDescent="0.2">
      <c r="A72" s="74" t="s">
        <v>622</v>
      </c>
      <c r="B72" s="121"/>
      <c r="C72" s="75">
        <f>C70*'IID Cost Basis 2013'!$F$16 + C70*'IID Cost Basis 2013'!$F$41</f>
        <v>0</v>
      </c>
      <c r="D72" s="75">
        <f>D70*'IID Cost Basis 2013'!$F$16 + D70*'IID Cost Basis 2013'!$F$41</f>
        <v>0</v>
      </c>
      <c r="E72" s="75">
        <f>E70*'IID Cost Basis 2013'!$F$16 + E70*'IID Cost Basis 2013'!$F$41</f>
        <v>0</v>
      </c>
      <c r="F72" s="75">
        <f>F70*'IID Cost Basis 2013'!$F$16 + F70*'IID Cost Basis 2013'!$F$41</f>
        <v>45963605.156373329</v>
      </c>
      <c r="G72" s="75">
        <f>G70*'IID Cost Basis 2013'!$F$16 + G70*'IID Cost Basis 2013'!$F$41</f>
        <v>45963605.156373329</v>
      </c>
      <c r="H72" s="75">
        <f>H70*'IID Cost Basis 2013'!$F$16 + H70*'IID Cost Basis 2013'!$F$41</f>
        <v>0</v>
      </c>
      <c r="I72" s="75">
        <f>I70*'IID Cost Basis 2013'!$F$16 + I70*'IID Cost Basis 2013'!$F$41</f>
        <v>0</v>
      </c>
      <c r="J72" s="75">
        <f>J70*'IID Cost Basis 2013'!$F$16 + J70*'IID Cost Basis 2013'!$F$41</f>
        <v>0</v>
      </c>
      <c r="K72" s="75">
        <f>K70*'IID Cost Basis 2013'!$F$16 + K70*'IID Cost Basis 2013'!$F$41</f>
        <v>0</v>
      </c>
      <c r="L72" s="75">
        <f>L70*'IID Cost Basis 2013'!$F$16 + L70*'IID Cost Basis 2013'!$F$41</f>
        <v>0</v>
      </c>
      <c r="M72" s="75">
        <f>M70*'IID Cost Basis 2013'!$F$16 + M70*'IID Cost Basis 2013'!$F$41</f>
        <v>0</v>
      </c>
      <c r="N72" s="75">
        <f>N70*'IID Cost Basis 2013'!$F$16 + N70*'IID Cost Basis 2013'!$F$41</f>
        <v>0</v>
      </c>
      <c r="O72" s="75">
        <f>O70*'IID Cost Basis 2013'!$F$16 + O70*'IID Cost Basis 2013'!$F$41</f>
        <v>0</v>
      </c>
      <c r="P72" s="75">
        <f>P70*'IID Cost Basis 2013'!$F$16 + P70*'IID Cost Basis 2013'!$F$41</f>
        <v>0</v>
      </c>
      <c r="Q72" s="75">
        <f>Q70*'IID Cost Basis 2013'!$F$16 + Q70*'IID Cost Basis 2013'!$F$41</f>
        <v>0</v>
      </c>
      <c r="R72" s="75">
        <f>R70*'IID Cost Basis 2013'!$F$16 + R70*'IID Cost Basis 2013'!$F$41</f>
        <v>0</v>
      </c>
      <c r="S72" s="75">
        <f>S70*'IID Cost Basis 2013'!$F$16 + S70*'IID Cost Basis 2013'!$F$41</f>
        <v>0</v>
      </c>
      <c r="T72" s="75">
        <f>T70*'IID Cost Basis 2013'!$F$16 + T70*'IID Cost Basis 2013'!$F$41</f>
        <v>0</v>
      </c>
      <c r="U72" s="75">
        <f>U70*'IID Cost Basis 2013'!$F$16 + U70*'IID Cost Basis 2013'!$F$41</f>
        <v>0</v>
      </c>
      <c r="V72" s="75">
        <f>V70*'IID Cost Basis 2013'!$F$16 + V70*'IID Cost Basis 2013'!$F$41</f>
        <v>0</v>
      </c>
      <c r="W72" s="75">
        <f>W70*'IID Cost Basis 2013'!$F$16 + W70*'IID Cost Basis 2013'!$F$41</f>
        <v>0</v>
      </c>
      <c r="X72" s="75">
        <f>X70*'IID Cost Basis 2013'!$F$16 + X70*'IID Cost Basis 2013'!$F$41</f>
        <v>0</v>
      </c>
      <c r="Y72" s="75">
        <f>Y70*'IID Cost Basis 2013'!$F$16 + Y70*'IID Cost Basis 2013'!$F$41</f>
        <v>0</v>
      </c>
      <c r="Z72" s="75">
        <f>Z70*'IID Cost Basis 2013'!$F$16 + Z70*'IID Cost Basis 2013'!$F$41</f>
        <v>0</v>
      </c>
      <c r="AA72" s="75">
        <f>AA70*'IID Cost Basis 2013'!$F$16 + AA70*'IID Cost Basis 2013'!$F$41</f>
        <v>0</v>
      </c>
      <c r="AB72" s="75">
        <f>AB70*'IID Cost Basis 2013'!$F$16 + AB70*'IID Cost Basis 2013'!$F$41</f>
        <v>0</v>
      </c>
      <c r="AC72" s="75">
        <f>AC70*'IID Cost Basis 2013'!$F$16 + AC70*'IID Cost Basis 2013'!$F$41</f>
        <v>0</v>
      </c>
      <c r="AD72" s="75">
        <f>AD70*'IID Cost Basis 2013'!$F$16 + AD70*'IID Cost Basis 2013'!$F$41</f>
        <v>0</v>
      </c>
      <c r="AE72" s="75">
        <f>AE70*'IID Cost Basis 2013'!$F$16 + AE70*'IID Cost Basis 2013'!$F$41</f>
        <v>0</v>
      </c>
      <c r="AF72" s="75">
        <f>AF70*'IID Cost Basis 2013'!$F$16 + AF70*'IID Cost Basis 2013'!$F$41</f>
        <v>0</v>
      </c>
      <c r="AG72" s="75">
        <f>AG70*'IID Cost Basis 2013'!$F$16 + AG70*'IID Cost Basis 2013'!$F$41</f>
        <v>0</v>
      </c>
      <c r="AH72" s="75">
        <f>AH70*'IID Cost Basis 2013'!$F$16 + AH70*'IID Cost Basis 2013'!$F$41</f>
        <v>0</v>
      </c>
      <c r="AI72" s="75">
        <f>AI70*'IID Cost Basis 2013'!$F$16 + AI70*'IID Cost Basis 2013'!$F$41</f>
        <v>0</v>
      </c>
      <c r="AJ72" s="75">
        <f>AJ70*'IID Cost Basis 2013'!$F$16 + AJ70*'IID Cost Basis 2013'!$F$41</f>
        <v>0</v>
      </c>
      <c r="AK72" s="75">
        <f>AK70*'IID Cost Basis 2013'!$F$16 + AK70*'IID Cost Basis 2013'!$F$41</f>
        <v>0</v>
      </c>
      <c r="AL72" s="75">
        <f>AL70*'IID Cost Basis 2013'!$F$16 + AL70*'IID Cost Basis 2013'!$F$41</f>
        <v>0</v>
      </c>
      <c r="AM72" s="75">
        <f>AM70*'IID Cost Basis 2013'!$F$16 + AM70*'IID Cost Basis 2013'!$F$41</f>
        <v>0</v>
      </c>
      <c r="AN72" s="75">
        <f>AN70*'IID Cost Basis 2013'!$F$16 + AN70*'IID Cost Basis 2013'!$F$41</f>
        <v>0</v>
      </c>
      <c r="AO72" s="75">
        <f>AO70*'IID Cost Basis 2013'!$F$16 + AO70*'IID Cost Basis 2013'!$F$41</f>
        <v>0</v>
      </c>
      <c r="AP72" s="75">
        <f>AP70*'IID Cost Basis 2013'!$F$16 + AP70*'IID Cost Basis 2013'!$F$41</f>
        <v>0</v>
      </c>
      <c r="AQ72" s="75">
        <f>AQ70*'IID Cost Basis 2013'!$F$16 + AQ70*'IID Cost Basis 2013'!$F$41</f>
        <v>0</v>
      </c>
      <c r="AR72" s="75">
        <f>AR70*'IID Cost Basis 2013'!$F$16 + AR70*'IID Cost Basis 2013'!$F$41</f>
        <v>0</v>
      </c>
      <c r="AS72" s="75">
        <f>AS70*'IID Cost Basis 2013'!$F$16 + AS70*'IID Cost Basis 2013'!$F$41</f>
        <v>0</v>
      </c>
      <c r="AT72" s="75">
        <f>AT70*'IID Cost Basis 2013'!$F$16 + AT70*'IID Cost Basis 2013'!$F$41</f>
        <v>0</v>
      </c>
      <c r="AU72" s="75">
        <f>AU70*'IID Cost Basis 2013'!$F$16 + AU70*'IID Cost Basis 2013'!$F$41</f>
        <v>0</v>
      </c>
      <c r="AV72" s="75">
        <f>AV70*'IID Cost Basis 2013'!$F$16 + AV70*'IID Cost Basis 2013'!$F$41</f>
        <v>0</v>
      </c>
      <c r="AW72" s="75">
        <f>AW70*'IID Cost Basis 2013'!$F$16 + AW70*'IID Cost Basis 2013'!$F$41</f>
        <v>0</v>
      </c>
      <c r="AX72" s="75">
        <f>AX70*'IID Cost Basis 2013'!$F$16 + AX70*'IID Cost Basis 2013'!$F$41</f>
        <v>0</v>
      </c>
      <c r="AY72" s="75">
        <f>AY70*'IID Cost Basis 2013'!$F$16 + AY70*'IID Cost Basis 2013'!$F$41</f>
        <v>0</v>
      </c>
      <c r="AZ72" s="75">
        <f>AZ70*'IID Cost Basis 2013'!$F$16 + AZ70*'IID Cost Basis 2013'!$F$41</f>
        <v>0</v>
      </c>
      <c r="BA72" s="75">
        <f>BA70*'IID Cost Basis 2013'!$F$16 + BA70*'IID Cost Basis 2013'!$F$41</f>
        <v>0</v>
      </c>
      <c r="BB72" s="75">
        <f>BB70*'IID Cost Basis 2013'!$F$16 + BB70*'IID Cost Basis 2013'!$F$41</f>
        <v>0</v>
      </c>
      <c r="BC72" s="75">
        <f>BC70*'IID Cost Basis 2013'!$F$16 + BC70*'IID Cost Basis 2013'!$F$41</f>
        <v>0</v>
      </c>
      <c r="BD72" s="75">
        <f>BD70*'IID Cost Basis 2013'!$F$16 + BD70*'IID Cost Basis 2013'!$F$41</f>
        <v>0</v>
      </c>
      <c r="BE72" s="75">
        <f>BE70*'IID Cost Basis 2013'!$F$16 + BE70*'IID Cost Basis 2013'!$F$41</f>
        <v>0</v>
      </c>
      <c r="BF72" s="75">
        <f>BF70*'IID Cost Basis 2013'!$F$16 + BF70*'IID Cost Basis 2013'!$F$41</f>
        <v>0</v>
      </c>
      <c r="BG72" s="75">
        <f>BG70*'IID Cost Basis 2013'!$F$16 + BG70*'IID Cost Basis 2013'!$F$41</f>
        <v>0</v>
      </c>
      <c r="BH72" s="75">
        <f>BH70*'IID Cost Basis 2013'!$F$16 + BH70*'IID Cost Basis 2013'!$F$41</f>
        <v>0</v>
      </c>
      <c r="BI72" s="75"/>
    </row>
    <row r="73" spans="1:61" s="74" customFormat="1" x14ac:dyDescent="0.2">
      <c r="A73" s="74" t="s">
        <v>623</v>
      </c>
      <c r="B73" s="121"/>
      <c r="C73" s="75">
        <f>C71*('IID Cost Basis 2013'!$F$18+'IID Cost Basis 2013'!$F$19+'IID Cost Basis 2013'!$F$43)</f>
        <v>0</v>
      </c>
      <c r="D73" s="75">
        <f>D71*('IID Cost Basis 2013'!$F$18+'IID Cost Basis 2013'!$F$19+'IID Cost Basis 2013'!$F$43)</f>
        <v>0</v>
      </c>
      <c r="E73" s="75">
        <f>E71*('IID Cost Basis 2013'!$F$18+'IID Cost Basis 2013'!$F$19+'IID Cost Basis 2013'!$F$43)</f>
        <v>0</v>
      </c>
      <c r="F73" s="75">
        <f>F71*('IID Cost Basis 2013'!$F$18+'IID Cost Basis 2013'!$F$19+'IID Cost Basis 2013'!$F$43)</f>
        <v>0</v>
      </c>
      <c r="G73" s="75">
        <f>G71*('IID Cost Basis 2013'!$F$18+'IID Cost Basis 2013'!$F$19+'IID Cost Basis 2013'!$F$43)</f>
        <v>2594212.8800000004</v>
      </c>
      <c r="H73" s="75">
        <f>H71*('IID Cost Basis 2013'!$F$18+'IID Cost Basis 2013'!$F$19+'IID Cost Basis 2013'!$F$43)</f>
        <v>5188425.7600000007</v>
      </c>
      <c r="I73" s="75">
        <f>I71*('IID Cost Basis 2013'!$F$18+'IID Cost Basis 2013'!$F$19+'IID Cost Basis 2013'!$F$43)</f>
        <v>5188425.7600000007</v>
      </c>
      <c r="J73" s="75">
        <f>J71*('IID Cost Basis 2013'!$F$18+'IID Cost Basis 2013'!$F$19+'IID Cost Basis 2013'!$F$43)</f>
        <v>5188425.7600000007</v>
      </c>
      <c r="K73" s="75">
        <f>K71*('IID Cost Basis 2013'!$F$18+'IID Cost Basis 2013'!$F$19+'IID Cost Basis 2013'!$F$43)</f>
        <v>5188425.7600000007</v>
      </c>
      <c r="L73" s="75">
        <f>L71*('IID Cost Basis 2013'!$F$18+'IID Cost Basis 2013'!$F$19+'IID Cost Basis 2013'!$F$43)</f>
        <v>5188425.7600000007</v>
      </c>
      <c r="M73" s="75">
        <f>M71*('IID Cost Basis 2013'!$F$18+'IID Cost Basis 2013'!$F$19+'IID Cost Basis 2013'!$F$43)</f>
        <v>5188425.7600000007</v>
      </c>
      <c r="N73" s="75">
        <f>N71*('IID Cost Basis 2013'!$F$18+'IID Cost Basis 2013'!$F$19+'IID Cost Basis 2013'!$F$43)</f>
        <v>5188425.7600000007</v>
      </c>
      <c r="O73" s="75">
        <f>O71*('IID Cost Basis 2013'!$F$18+'IID Cost Basis 2013'!$F$19+'IID Cost Basis 2013'!$F$43)</f>
        <v>5188425.7600000007</v>
      </c>
      <c r="P73" s="75">
        <f>P71*('IID Cost Basis 2013'!$F$18+'IID Cost Basis 2013'!$F$19+'IID Cost Basis 2013'!$F$43)</f>
        <v>5188425.7600000007</v>
      </c>
      <c r="Q73" s="75">
        <f>Q71*('IID Cost Basis 2013'!$F$18+'IID Cost Basis 2013'!$F$19+'IID Cost Basis 2013'!$F$43)</f>
        <v>5188425.7600000007</v>
      </c>
      <c r="R73" s="75">
        <f>R71*('IID Cost Basis 2013'!$F$18+'IID Cost Basis 2013'!$F$19+'IID Cost Basis 2013'!$F$43)</f>
        <v>5188425.7600000007</v>
      </c>
      <c r="S73" s="75">
        <f>S71*('IID Cost Basis 2013'!$F$18+'IID Cost Basis 2013'!$F$19+'IID Cost Basis 2013'!$F$43)</f>
        <v>5188425.7600000007</v>
      </c>
      <c r="T73" s="75">
        <f>T71*('IID Cost Basis 2013'!$F$18+'IID Cost Basis 2013'!$F$19+'IID Cost Basis 2013'!$F$43)</f>
        <v>5188425.7600000007</v>
      </c>
      <c r="U73" s="75">
        <f>U71*('IID Cost Basis 2013'!$F$18+'IID Cost Basis 2013'!$F$19+'IID Cost Basis 2013'!$F$43)</f>
        <v>5188425.7600000007</v>
      </c>
      <c r="V73" s="75">
        <f>V71*('IID Cost Basis 2013'!$F$18+'IID Cost Basis 2013'!$F$19+'IID Cost Basis 2013'!$F$43)</f>
        <v>5188425.7600000007</v>
      </c>
      <c r="W73" s="75">
        <f>W71*('IID Cost Basis 2013'!$F$18+'IID Cost Basis 2013'!$F$19+'IID Cost Basis 2013'!$F$43)</f>
        <v>5188425.7600000007</v>
      </c>
      <c r="X73" s="75">
        <f>X71*('IID Cost Basis 2013'!$F$18+'IID Cost Basis 2013'!$F$19+'IID Cost Basis 2013'!$F$43)</f>
        <v>5188425.7600000007</v>
      </c>
      <c r="Y73" s="75">
        <f>Y71*('IID Cost Basis 2013'!$F$18+'IID Cost Basis 2013'!$F$19+'IID Cost Basis 2013'!$F$43)</f>
        <v>5188425.7600000007</v>
      </c>
      <c r="Z73" s="75">
        <f>Z71*('IID Cost Basis 2013'!$F$18+'IID Cost Basis 2013'!$F$19+'IID Cost Basis 2013'!$F$43)</f>
        <v>5188425.7600000007</v>
      </c>
      <c r="AA73" s="75">
        <f>AA71*('IID Cost Basis 2013'!$F$18+'IID Cost Basis 2013'!$F$19+'IID Cost Basis 2013'!$F$43)</f>
        <v>5188425.7600000007</v>
      </c>
      <c r="AB73" s="75">
        <f>AB71*('IID Cost Basis 2013'!$F$18+'IID Cost Basis 2013'!$F$19+'IID Cost Basis 2013'!$F$43)</f>
        <v>5188425.7600000007</v>
      </c>
      <c r="AC73" s="75">
        <f>AC71*('IID Cost Basis 2013'!$F$18+'IID Cost Basis 2013'!$F$19+'IID Cost Basis 2013'!$F$43)</f>
        <v>5188425.7600000007</v>
      </c>
      <c r="AD73" s="75">
        <f>AD71*('IID Cost Basis 2013'!$F$18+'IID Cost Basis 2013'!$F$19+'IID Cost Basis 2013'!$F$43)</f>
        <v>5188425.7600000007</v>
      </c>
      <c r="AE73" s="75">
        <f>AE71*('IID Cost Basis 2013'!$F$18+'IID Cost Basis 2013'!$F$19+'IID Cost Basis 2013'!$F$43)</f>
        <v>5188425.7600000007</v>
      </c>
      <c r="AF73" s="75">
        <f>AF71*('IID Cost Basis 2013'!$F$18+'IID Cost Basis 2013'!$F$19+'IID Cost Basis 2013'!$F$43)</f>
        <v>5188425.7600000007</v>
      </c>
      <c r="AG73" s="75">
        <f>AG71*('IID Cost Basis 2013'!$F$18+'IID Cost Basis 2013'!$F$19+'IID Cost Basis 2013'!$F$43)</f>
        <v>5188425.7600000007</v>
      </c>
      <c r="AH73" s="75">
        <f>AH71*('IID Cost Basis 2013'!$F$18+'IID Cost Basis 2013'!$F$19+'IID Cost Basis 2013'!$F$43)</f>
        <v>5188425.7600000007</v>
      </c>
      <c r="AI73" s="75">
        <f>AI71*('IID Cost Basis 2013'!$F$18+'IID Cost Basis 2013'!$F$19+'IID Cost Basis 2013'!$F$43)</f>
        <v>5188425.7600000007</v>
      </c>
      <c r="AJ73" s="75">
        <f>AJ71*('IID Cost Basis 2013'!$F$18+'IID Cost Basis 2013'!$F$19+'IID Cost Basis 2013'!$F$43)</f>
        <v>5188425.7600000007</v>
      </c>
      <c r="AK73" s="75">
        <f>AK71*('IID Cost Basis 2013'!$F$18+'IID Cost Basis 2013'!$F$19+'IID Cost Basis 2013'!$F$43)</f>
        <v>5188425.7600000007</v>
      </c>
      <c r="AL73" s="75">
        <f>AL71*('IID Cost Basis 2013'!$F$18+'IID Cost Basis 2013'!$F$19+'IID Cost Basis 2013'!$F$43)</f>
        <v>5188425.7600000007</v>
      </c>
      <c r="AM73" s="75">
        <f>AM71*('IID Cost Basis 2013'!$F$18+'IID Cost Basis 2013'!$F$19+'IID Cost Basis 2013'!$F$43)</f>
        <v>5188425.7600000007</v>
      </c>
      <c r="AN73" s="75">
        <f>AN71*('IID Cost Basis 2013'!$F$18+'IID Cost Basis 2013'!$F$19+'IID Cost Basis 2013'!$F$43)</f>
        <v>5188425.7600000007</v>
      </c>
      <c r="AO73" s="75">
        <f>AO71*('IID Cost Basis 2013'!$F$18+'IID Cost Basis 2013'!$F$19+'IID Cost Basis 2013'!$F$43)</f>
        <v>5188425.7600000007</v>
      </c>
      <c r="AP73" s="75">
        <f>AP71*('IID Cost Basis 2013'!$F$18+'IID Cost Basis 2013'!$F$19+'IID Cost Basis 2013'!$F$43)</f>
        <v>5188425.7600000007</v>
      </c>
      <c r="AQ73" s="75">
        <f>AQ71*('IID Cost Basis 2013'!$F$18+'IID Cost Basis 2013'!$F$19+'IID Cost Basis 2013'!$F$43)</f>
        <v>5188425.7600000007</v>
      </c>
      <c r="AR73" s="75">
        <f>AR71*('IID Cost Basis 2013'!$F$18+'IID Cost Basis 2013'!$F$19+'IID Cost Basis 2013'!$F$43)</f>
        <v>5188425.7600000007</v>
      </c>
      <c r="AS73" s="75">
        <f>AS71*('IID Cost Basis 2013'!$F$18+'IID Cost Basis 2013'!$F$19+'IID Cost Basis 2013'!$F$43)</f>
        <v>5188425.7600000007</v>
      </c>
      <c r="AT73" s="75">
        <f>AT71*('IID Cost Basis 2013'!$F$18+'IID Cost Basis 2013'!$F$19+'IID Cost Basis 2013'!$F$43)</f>
        <v>5188425.7600000007</v>
      </c>
      <c r="AU73" s="75">
        <f>AU71*('IID Cost Basis 2013'!$F$18+'IID Cost Basis 2013'!$F$19+'IID Cost Basis 2013'!$F$43)</f>
        <v>5188425.7600000007</v>
      </c>
      <c r="AV73" s="75">
        <f>AV71*('IID Cost Basis 2013'!$F$18+'IID Cost Basis 2013'!$F$19+'IID Cost Basis 2013'!$F$43)</f>
        <v>5188425.7600000007</v>
      </c>
      <c r="AW73" s="75">
        <f>AW71*('IID Cost Basis 2013'!$F$18+'IID Cost Basis 2013'!$F$19+'IID Cost Basis 2013'!$F$43)</f>
        <v>5188425.7600000007</v>
      </c>
      <c r="AX73" s="75">
        <f>AX71*('IID Cost Basis 2013'!$F$18+'IID Cost Basis 2013'!$F$19+'IID Cost Basis 2013'!$F$43)</f>
        <v>5188425.7600000007</v>
      </c>
      <c r="AY73" s="75">
        <f>AY71*('IID Cost Basis 2013'!$F$18+'IID Cost Basis 2013'!$F$19+'IID Cost Basis 2013'!$F$43)</f>
        <v>5188425.7600000007</v>
      </c>
      <c r="AZ73" s="75">
        <f>AZ71*('IID Cost Basis 2013'!$F$18+'IID Cost Basis 2013'!$F$19+'IID Cost Basis 2013'!$F$43)</f>
        <v>5188425.7600000007</v>
      </c>
      <c r="BA73" s="75">
        <f>BA71*('IID Cost Basis 2013'!$F$18+'IID Cost Basis 2013'!$F$19+'IID Cost Basis 2013'!$F$43)</f>
        <v>5188425.7600000007</v>
      </c>
      <c r="BB73" s="75">
        <f>BB71*('IID Cost Basis 2013'!$F$18+'IID Cost Basis 2013'!$F$19+'IID Cost Basis 2013'!$F$43)</f>
        <v>5188425.7600000007</v>
      </c>
      <c r="BC73" s="75">
        <f>BC71*('IID Cost Basis 2013'!$F$18+'IID Cost Basis 2013'!$F$19+'IID Cost Basis 2013'!$F$43)</f>
        <v>5188425.7600000007</v>
      </c>
      <c r="BD73" s="75">
        <f>BD71*('IID Cost Basis 2013'!$F$18+'IID Cost Basis 2013'!$F$19+'IID Cost Basis 2013'!$F$43)</f>
        <v>5188425.7600000007</v>
      </c>
      <c r="BE73" s="75">
        <f>BE71*('IID Cost Basis 2013'!$F$18+'IID Cost Basis 2013'!$F$19+'IID Cost Basis 2013'!$F$43)</f>
        <v>5188425.7600000007</v>
      </c>
      <c r="BF73" s="75">
        <f>BF71*('IID Cost Basis 2013'!$F$18+'IID Cost Basis 2013'!$F$19+'IID Cost Basis 2013'!$F$43)</f>
        <v>5188425.7600000007</v>
      </c>
      <c r="BG73" s="75">
        <f>BG71*('IID Cost Basis 2013'!$F$18+'IID Cost Basis 2013'!$F$19+'IID Cost Basis 2013'!$F$43)</f>
        <v>5188425.7600000007</v>
      </c>
      <c r="BH73" s="75">
        <f>BH71*('IID Cost Basis 2013'!$F$18+'IID Cost Basis 2013'!$F$19+'IID Cost Basis 2013'!$F$43)</f>
        <v>5188425.7600000007</v>
      </c>
      <c r="BI73" s="75"/>
    </row>
    <row r="74" spans="1:61" x14ac:dyDescent="0.2">
      <c r="A74" t="s">
        <v>25</v>
      </c>
      <c r="B74" s="31"/>
      <c r="C74" s="5">
        <f>C71*'IID Cost Basis 2013'!$F$23</f>
        <v>0</v>
      </c>
      <c r="D74" s="5">
        <f>D71*'IID Cost Basis 2013'!$F$23</f>
        <v>0</v>
      </c>
      <c r="E74" s="5">
        <f>E71*'IID Cost Basis 2013'!$F$23</f>
        <v>0</v>
      </c>
      <c r="F74" s="5">
        <f>F71*'IID Cost Basis 2013'!$F$23</f>
        <v>0</v>
      </c>
      <c r="G74" s="5">
        <f>G71*'IID Cost Basis 2013'!$F$23</f>
        <v>25000</v>
      </c>
      <c r="H74" s="5">
        <f>H71*'IID Cost Basis 2013'!$F$23</f>
        <v>50000</v>
      </c>
      <c r="I74" s="5">
        <f>I71*'IID Cost Basis 2013'!$F$23</f>
        <v>50000</v>
      </c>
      <c r="J74" s="5">
        <f>J71*'IID Cost Basis 2013'!$F$23</f>
        <v>50000</v>
      </c>
      <c r="K74" s="5">
        <f>K71*'IID Cost Basis 2013'!$F$23</f>
        <v>50000</v>
      </c>
      <c r="L74" s="5">
        <f>L71*'IID Cost Basis 2013'!$F$23</f>
        <v>50000</v>
      </c>
      <c r="M74" s="5">
        <f>M71*'IID Cost Basis 2013'!$F$23</f>
        <v>50000</v>
      </c>
      <c r="N74" s="5">
        <f>N71*'IID Cost Basis 2013'!$F$23</f>
        <v>50000</v>
      </c>
      <c r="O74" s="5">
        <f>O71*'IID Cost Basis 2013'!$F$23</f>
        <v>50000</v>
      </c>
      <c r="P74" s="5">
        <f>P71*'IID Cost Basis 2013'!$F$23</f>
        <v>50000</v>
      </c>
      <c r="Q74" s="5">
        <f>Q71*'IID Cost Basis 2013'!$F$23</f>
        <v>50000</v>
      </c>
      <c r="R74" s="5">
        <f>R71*'IID Cost Basis 2013'!$F$23</f>
        <v>50000</v>
      </c>
      <c r="S74" s="5">
        <f>S71*'IID Cost Basis 2013'!$F$23</f>
        <v>50000</v>
      </c>
      <c r="T74" s="5">
        <f>T71*'IID Cost Basis 2013'!$F$23</f>
        <v>50000</v>
      </c>
      <c r="U74" s="5">
        <f>U71*'IID Cost Basis 2013'!$F$23</f>
        <v>50000</v>
      </c>
      <c r="V74" s="5">
        <f>V71*'IID Cost Basis 2013'!$F$23</f>
        <v>50000</v>
      </c>
      <c r="W74" s="5">
        <f>W71*'IID Cost Basis 2013'!$F$23</f>
        <v>50000</v>
      </c>
      <c r="X74" s="5">
        <f>X71*'IID Cost Basis 2013'!$F$23</f>
        <v>50000</v>
      </c>
      <c r="Y74" s="5">
        <f>Y71*'IID Cost Basis 2013'!$F$23</f>
        <v>50000</v>
      </c>
      <c r="Z74" s="5">
        <f>Z71*'IID Cost Basis 2013'!$F$23</f>
        <v>50000</v>
      </c>
      <c r="AA74" s="5">
        <f>AA71*'IID Cost Basis 2013'!$F$23</f>
        <v>50000</v>
      </c>
      <c r="AB74" s="5">
        <f>AB71*'IID Cost Basis 2013'!$F$23</f>
        <v>50000</v>
      </c>
      <c r="AC74" s="5">
        <f>AC71*'IID Cost Basis 2013'!$F$23</f>
        <v>50000</v>
      </c>
      <c r="AD74" s="5">
        <f>AD71*'IID Cost Basis 2013'!$F$23</f>
        <v>50000</v>
      </c>
      <c r="AE74" s="5">
        <f>AE71*'IID Cost Basis 2013'!$F$23</f>
        <v>50000</v>
      </c>
      <c r="AF74" s="5">
        <f>AF71*'IID Cost Basis 2013'!$F$23</f>
        <v>50000</v>
      </c>
      <c r="AG74" s="5">
        <f>AG71*'IID Cost Basis 2013'!$F$23</f>
        <v>50000</v>
      </c>
      <c r="AH74" s="5">
        <f>AH71*'IID Cost Basis 2013'!$F$23</f>
        <v>50000</v>
      </c>
      <c r="AI74" s="5">
        <f>AI71*'IID Cost Basis 2013'!$F$23</f>
        <v>50000</v>
      </c>
      <c r="AJ74" s="5">
        <f>AJ71*'IID Cost Basis 2013'!$F$23</f>
        <v>50000</v>
      </c>
      <c r="AK74" s="5">
        <f>AK71*'IID Cost Basis 2013'!$F$23</f>
        <v>50000</v>
      </c>
      <c r="AL74" s="5">
        <f>AL71*'IID Cost Basis 2013'!$F$23</f>
        <v>50000</v>
      </c>
      <c r="AM74" s="5">
        <f>AM71*'IID Cost Basis 2013'!$F$23</f>
        <v>50000</v>
      </c>
      <c r="AN74" s="5">
        <f>AN71*'IID Cost Basis 2013'!$F$23</f>
        <v>50000</v>
      </c>
      <c r="AO74" s="5">
        <f>AO71*'IID Cost Basis 2013'!$F$23</f>
        <v>50000</v>
      </c>
      <c r="AP74" s="5">
        <f>AP71*'IID Cost Basis 2013'!$F$23</f>
        <v>50000</v>
      </c>
      <c r="AQ74" s="5">
        <f>AQ71*'IID Cost Basis 2013'!$F$23</f>
        <v>50000</v>
      </c>
      <c r="AR74" s="5">
        <f>AR71*'IID Cost Basis 2013'!$F$23</f>
        <v>50000</v>
      </c>
      <c r="AS74" s="5">
        <f>AS71*'IID Cost Basis 2013'!$F$23</f>
        <v>50000</v>
      </c>
      <c r="AT74" s="5">
        <f>AT71*'IID Cost Basis 2013'!$F$23</f>
        <v>50000</v>
      </c>
      <c r="AU74" s="5">
        <f>AU71*'IID Cost Basis 2013'!$F$23</f>
        <v>50000</v>
      </c>
      <c r="AV74" s="5">
        <f>AV71*'IID Cost Basis 2013'!$F$23</f>
        <v>50000</v>
      </c>
      <c r="AW74" s="5">
        <f>AW71*'IID Cost Basis 2013'!$F$23</f>
        <v>50000</v>
      </c>
      <c r="AX74" s="5">
        <f>AX71*'IID Cost Basis 2013'!$F$23</f>
        <v>50000</v>
      </c>
      <c r="AY74" s="5">
        <f>AY71*'IID Cost Basis 2013'!$F$23</f>
        <v>50000</v>
      </c>
      <c r="AZ74" s="5">
        <f>AZ71*'IID Cost Basis 2013'!$F$23</f>
        <v>50000</v>
      </c>
      <c r="BA74" s="5">
        <f>BA71*'IID Cost Basis 2013'!$F$23</f>
        <v>50000</v>
      </c>
      <c r="BB74" s="5">
        <f>BB71*'IID Cost Basis 2013'!$F$23</f>
        <v>50000</v>
      </c>
      <c r="BC74" s="5">
        <f>BC71*'IID Cost Basis 2013'!$F$23</f>
        <v>50000</v>
      </c>
      <c r="BD74" s="5">
        <f>BD71*'IID Cost Basis 2013'!$F$23</f>
        <v>50000</v>
      </c>
      <c r="BE74" s="5">
        <f>BE71*'IID Cost Basis 2013'!$F$23</f>
        <v>50000</v>
      </c>
      <c r="BF74" s="5">
        <f>BF71*'IID Cost Basis 2013'!$F$23</f>
        <v>50000</v>
      </c>
      <c r="BG74" s="5">
        <f>BG71*'IID Cost Basis 2013'!$F$23</f>
        <v>50000</v>
      </c>
      <c r="BH74" s="5">
        <f>BH71*'IID Cost Basis 2013'!$F$23</f>
        <v>50000</v>
      </c>
      <c r="BI74" s="5"/>
    </row>
    <row r="75" spans="1:61" s="72" customFormat="1" x14ac:dyDescent="0.2">
      <c r="A75" s="72" t="s">
        <v>621</v>
      </c>
      <c r="B75" s="128"/>
      <c r="C75" s="81">
        <f t="shared" ref="C75:AH75" si="412">C74</f>
        <v>0</v>
      </c>
      <c r="D75" s="81">
        <f t="shared" si="412"/>
        <v>0</v>
      </c>
      <c r="E75" s="81">
        <f t="shared" si="412"/>
        <v>0</v>
      </c>
      <c r="F75" s="81">
        <f t="shared" si="412"/>
        <v>0</v>
      </c>
      <c r="G75" s="81">
        <f t="shared" si="412"/>
        <v>25000</v>
      </c>
      <c r="H75" s="81">
        <f t="shared" si="412"/>
        <v>50000</v>
      </c>
      <c r="I75" s="81">
        <f t="shared" si="412"/>
        <v>50000</v>
      </c>
      <c r="J75" s="81">
        <f t="shared" si="412"/>
        <v>50000</v>
      </c>
      <c r="K75" s="81">
        <f t="shared" si="412"/>
        <v>50000</v>
      </c>
      <c r="L75" s="81">
        <f t="shared" si="412"/>
        <v>50000</v>
      </c>
      <c r="M75" s="81">
        <f t="shared" si="412"/>
        <v>50000</v>
      </c>
      <c r="N75" s="81">
        <f t="shared" si="412"/>
        <v>50000</v>
      </c>
      <c r="O75" s="81">
        <f t="shared" si="412"/>
        <v>50000</v>
      </c>
      <c r="P75" s="81">
        <f t="shared" si="412"/>
        <v>50000</v>
      </c>
      <c r="Q75" s="81">
        <f t="shared" si="412"/>
        <v>50000</v>
      </c>
      <c r="R75" s="81">
        <f t="shared" si="412"/>
        <v>50000</v>
      </c>
      <c r="S75" s="81">
        <f t="shared" si="412"/>
        <v>50000</v>
      </c>
      <c r="T75" s="81">
        <f t="shared" si="412"/>
        <v>50000</v>
      </c>
      <c r="U75" s="81">
        <f t="shared" si="412"/>
        <v>50000</v>
      </c>
      <c r="V75" s="81">
        <f t="shared" si="412"/>
        <v>50000</v>
      </c>
      <c r="W75" s="81">
        <f t="shared" si="412"/>
        <v>50000</v>
      </c>
      <c r="X75" s="81">
        <f t="shared" si="412"/>
        <v>50000</v>
      </c>
      <c r="Y75" s="81">
        <f t="shared" si="412"/>
        <v>50000</v>
      </c>
      <c r="Z75" s="81">
        <f t="shared" si="412"/>
        <v>50000</v>
      </c>
      <c r="AA75" s="81">
        <f t="shared" si="412"/>
        <v>50000</v>
      </c>
      <c r="AB75" s="81">
        <f t="shared" si="412"/>
        <v>50000</v>
      </c>
      <c r="AC75" s="81">
        <f t="shared" si="412"/>
        <v>50000</v>
      </c>
      <c r="AD75" s="81">
        <f t="shared" si="412"/>
        <v>50000</v>
      </c>
      <c r="AE75" s="81">
        <f t="shared" si="412"/>
        <v>50000</v>
      </c>
      <c r="AF75" s="81">
        <f t="shared" si="412"/>
        <v>50000</v>
      </c>
      <c r="AG75" s="81">
        <f t="shared" si="412"/>
        <v>50000</v>
      </c>
      <c r="AH75" s="81">
        <f t="shared" si="412"/>
        <v>50000</v>
      </c>
      <c r="AI75" s="81">
        <f t="shared" ref="AI75:BH75" si="413">AI74</f>
        <v>50000</v>
      </c>
      <c r="AJ75" s="81">
        <f t="shared" si="413"/>
        <v>50000</v>
      </c>
      <c r="AK75" s="81">
        <f t="shared" si="413"/>
        <v>50000</v>
      </c>
      <c r="AL75" s="81">
        <f t="shared" si="413"/>
        <v>50000</v>
      </c>
      <c r="AM75" s="81">
        <f t="shared" si="413"/>
        <v>50000</v>
      </c>
      <c r="AN75" s="81">
        <f t="shared" si="413"/>
        <v>50000</v>
      </c>
      <c r="AO75" s="81">
        <f t="shared" si="413"/>
        <v>50000</v>
      </c>
      <c r="AP75" s="81">
        <f t="shared" si="413"/>
        <v>50000</v>
      </c>
      <c r="AQ75" s="81">
        <f t="shared" si="413"/>
        <v>50000</v>
      </c>
      <c r="AR75" s="81">
        <f t="shared" si="413"/>
        <v>50000</v>
      </c>
      <c r="AS75" s="81">
        <f t="shared" si="413"/>
        <v>50000</v>
      </c>
      <c r="AT75" s="81">
        <f t="shared" si="413"/>
        <v>50000</v>
      </c>
      <c r="AU75" s="81">
        <f t="shared" si="413"/>
        <v>50000</v>
      </c>
      <c r="AV75" s="81">
        <f t="shared" si="413"/>
        <v>50000</v>
      </c>
      <c r="AW75" s="81">
        <f t="shared" si="413"/>
        <v>50000</v>
      </c>
      <c r="AX75" s="81">
        <f t="shared" si="413"/>
        <v>50000</v>
      </c>
      <c r="AY75" s="81">
        <f t="shared" si="413"/>
        <v>50000</v>
      </c>
      <c r="AZ75" s="81">
        <f t="shared" si="413"/>
        <v>50000</v>
      </c>
      <c r="BA75" s="81">
        <f t="shared" si="413"/>
        <v>50000</v>
      </c>
      <c r="BB75" s="81">
        <f t="shared" si="413"/>
        <v>50000</v>
      </c>
      <c r="BC75" s="81">
        <f t="shared" si="413"/>
        <v>50000</v>
      </c>
      <c r="BD75" s="81">
        <f t="shared" si="413"/>
        <v>50000</v>
      </c>
      <c r="BE75" s="81">
        <f t="shared" si="413"/>
        <v>50000</v>
      </c>
      <c r="BF75" s="81">
        <f t="shared" si="413"/>
        <v>50000</v>
      </c>
      <c r="BG75" s="81">
        <f t="shared" si="413"/>
        <v>50000</v>
      </c>
      <c r="BH75" s="81">
        <f t="shared" si="413"/>
        <v>50000</v>
      </c>
      <c r="BI75" s="81"/>
    </row>
    <row r="76" spans="1:61" s="79" customFormat="1" x14ac:dyDescent="0.2">
      <c r="B76" s="125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</row>
    <row r="77" spans="1:61" x14ac:dyDescent="0.2">
      <c r="A77" s="79" t="s">
        <v>603</v>
      </c>
      <c r="B77" s="31"/>
      <c r="C77" s="5">
        <f t="shared" ref="C77:AH77" si="414" xml:space="preserve"> 1000000 * (0.2642 * C1 - 478.77)</f>
        <v>56235000.000000015</v>
      </c>
      <c r="D77" s="5">
        <f t="shared" si="414"/>
        <v>56499199.99999997</v>
      </c>
      <c r="E77" s="5">
        <f t="shared" si="414"/>
        <v>56763400.000000045</v>
      </c>
      <c r="F77" s="5">
        <f t="shared" si="414"/>
        <v>57027600.000000007</v>
      </c>
      <c r="G77" s="5">
        <f t="shared" si="414"/>
        <v>57291799.99999997</v>
      </c>
      <c r="H77" s="5">
        <f t="shared" si="414"/>
        <v>57556000.000000037</v>
      </c>
      <c r="I77" s="5">
        <f t="shared" si="414"/>
        <v>57820200</v>
      </c>
      <c r="J77" s="5">
        <f t="shared" si="414"/>
        <v>58084399.999999963</v>
      </c>
      <c r="K77" s="5">
        <f t="shared" si="414"/>
        <v>58348600.00000003</v>
      </c>
      <c r="L77" s="5">
        <f t="shared" si="414"/>
        <v>58612799.999999993</v>
      </c>
      <c r="M77" s="5">
        <f t="shared" si="414"/>
        <v>58876999.999999955</v>
      </c>
      <c r="N77" s="5">
        <f t="shared" si="414"/>
        <v>59141200.00000003</v>
      </c>
      <c r="O77" s="5">
        <f t="shared" si="414"/>
        <v>59405399.999999985</v>
      </c>
      <c r="P77" s="5">
        <f t="shared" si="414"/>
        <v>59669599.999999948</v>
      </c>
      <c r="Q77" s="5">
        <f t="shared" si="414"/>
        <v>59933800.000000022</v>
      </c>
      <c r="R77" s="5">
        <f t="shared" si="414"/>
        <v>60197999.999999978</v>
      </c>
      <c r="S77" s="5">
        <f t="shared" si="414"/>
        <v>60462200.000000052</v>
      </c>
      <c r="T77" s="5">
        <f t="shared" si="414"/>
        <v>60726400.000000015</v>
      </c>
      <c r="U77" s="5">
        <f t="shared" si="414"/>
        <v>60990599.99999997</v>
      </c>
      <c r="V77" s="5">
        <f t="shared" si="414"/>
        <v>61254800.000000045</v>
      </c>
      <c r="W77" s="5">
        <f t="shared" si="414"/>
        <v>61519000.000000007</v>
      </c>
      <c r="X77" s="5">
        <f t="shared" si="414"/>
        <v>61783199.999999963</v>
      </c>
      <c r="Y77" s="5">
        <f t="shared" si="414"/>
        <v>62047400.000000037</v>
      </c>
      <c r="Z77" s="5">
        <f t="shared" si="414"/>
        <v>62311600</v>
      </c>
      <c r="AA77" s="5">
        <f t="shared" si="414"/>
        <v>62575799.999999955</v>
      </c>
      <c r="AB77" s="5">
        <f t="shared" si="414"/>
        <v>62840000.00000003</v>
      </c>
      <c r="AC77" s="5">
        <f t="shared" si="414"/>
        <v>63104199.999999993</v>
      </c>
      <c r="AD77" s="5">
        <f t="shared" si="414"/>
        <v>63368399.999999948</v>
      </c>
      <c r="AE77" s="5">
        <f t="shared" si="414"/>
        <v>63632600.000000022</v>
      </c>
      <c r="AF77" s="5">
        <f t="shared" si="414"/>
        <v>63896799.999999985</v>
      </c>
      <c r="AG77" s="5">
        <f t="shared" si="414"/>
        <v>64160999.999999948</v>
      </c>
      <c r="AH77" s="5">
        <f t="shared" si="414"/>
        <v>64425200.000000015</v>
      </c>
      <c r="AI77" s="5">
        <f t="shared" ref="AI77:BH77" si="415" xml:space="preserve"> 1000000 * (0.2642 * AI1 - 478.77)</f>
        <v>64689399.999999978</v>
      </c>
      <c r="AJ77" s="5">
        <f t="shared" si="415"/>
        <v>64953600.000000052</v>
      </c>
      <c r="AK77" s="5">
        <f t="shared" si="415"/>
        <v>65217800.000000007</v>
      </c>
      <c r="AL77" s="5">
        <f t="shared" si="415"/>
        <v>65481999.99999997</v>
      </c>
      <c r="AM77" s="5">
        <f t="shared" si="415"/>
        <v>65746200.000000045</v>
      </c>
      <c r="AN77" s="5">
        <f t="shared" si="415"/>
        <v>66010400.000000007</v>
      </c>
      <c r="AO77" s="5">
        <f t="shared" si="415"/>
        <v>66274599.999999963</v>
      </c>
      <c r="AP77" s="5">
        <f t="shared" si="415"/>
        <v>66538800.000000037</v>
      </c>
      <c r="AQ77" s="5">
        <f t="shared" si="415"/>
        <v>66803000</v>
      </c>
      <c r="AR77" s="5">
        <f t="shared" si="415"/>
        <v>67067199.999999955</v>
      </c>
      <c r="AS77" s="5">
        <f t="shared" si="415"/>
        <v>67331400.00000003</v>
      </c>
      <c r="AT77" s="5">
        <f t="shared" si="415"/>
        <v>67595599.999999985</v>
      </c>
      <c r="AU77" s="5">
        <f t="shared" si="415"/>
        <v>67859799.999999955</v>
      </c>
      <c r="AV77" s="5">
        <f t="shared" si="415"/>
        <v>68124000.00000003</v>
      </c>
      <c r="AW77" s="5">
        <f t="shared" si="415"/>
        <v>68388199.999999985</v>
      </c>
      <c r="AX77" s="5">
        <f t="shared" si="415"/>
        <v>68652399.99999994</v>
      </c>
      <c r="AY77" s="5">
        <f t="shared" si="415"/>
        <v>68916600.000000015</v>
      </c>
      <c r="AZ77" s="5">
        <f t="shared" si="415"/>
        <v>69180799.99999997</v>
      </c>
      <c r="BA77" s="5">
        <f t="shared" si="415"/>
        <v>69445000.000000045</v>
      </c>
      <c r="BB77" s="5">
        <f t="shared" si="415"/>
        <v>69709200.000000015</v>
      </c>
      <c r="BC77" s="5">
        <f t="shared" si="415"/>
        <v>69973399.99999997</v>
      </c>
      <c r="BD77" s="5">
        <f t="shared" si="415"/>
        <v>70237600.000000045</v>
      </c>
      <c r="BE77" s="5">
        <f t="shared" si="415"/>
        <v>70501800</v>
      </c>
      <c r="BF77" s="5">
        <f t="shared" si="415"/>
        <v>70765999.999999955</v>
      </c>
      <c r="BG77" s="5">
        <f t="shared" si="415"/>
        <v>71030200.00000003</v>
      </c>
      <c r="BH77" s="5">
        <f t="shared" si="415"/>
        <v>71294400</v>
      </c>
    </row>
    <row r="78" spans="1:61" x14ac:dyDescent="0.2">
      <c r="A78" t="s">
        <v>450</v>
      </c>
      <c r="B78" s="31"/>
      <c r="C78" s="5">
        <f t="shared" ref="C78:AH78" si="416" xml:space="preserve"> SUM(C24)</f>
        <v>0</v>
      </c>
      <c r="D78" s="5">
        <f t="shared" si="416"/>
        <v>0</v>
      </c>
      <c r="E78" s="5">
        <f t="shared" si="416"/>
        <v>1362321.600000001</v>
      </c>
      <c r="F78" s="5">
        <f t="shared" si="416"/>
        <v>1368662.4000000001</v>
      </c>
      <c r="G78" s="5">
        <f t="shared" si="416"/>
        <v>1375003.1999999993</v>
      </c>
      <c r="H78" s="5">
        <f t="shared" si="416"/>
        <v>1381344.0000000009</v>
      </c>
      <c r="I78" s="5">
        <f t="shared" si="416"/>
        <v>1387684.8</v>
      </c>
      <c r="J78" s="5">
        <f t="shared" si="416"/>
        <v>1394025.5999999992</v>
      </c>
      <c r="K78" s="5">
        <f t="shared" si="416"/>
        <v>1400366.4000000008</v>
      </c>
      <c r="L78" s="5">
        <f t="shared" si="416"/>
        <v>1406707.2</v>
      </c>
      <c r="M78" s="5">
        <f t="shared" si="416"/>
        <v>1413047.9999999991</v>
      </c>
      <c r="N78" s="5">
        <f t="shared" si="416"/>
        <v>1419388.8000000007</v>
      </c>
      <c r="O78" s="5">
        <f t="shared" si="416"/>
        <v>1425729.5999999996</v>
      </c>
      <c r="P78" s="5">
        <f t="shared" si="416"/>
        <v>1432070.3999999987</v>
      </c>
      <c r="Q78" s="5">
        <f t="shared" si="416"/>
        <v>1438411.2000000007</v>
      </c>
      <c r="R78" s="5">
        <f t="shared" si="416"/>
        <v>1444751.9999999995</v>
      </c>
      <c r="S78" s="5">
        <f t="shared" si="416"/>
        <v>1451092.8000000012</v>
      </c>
      <c r="T78" s="5">
        <f t="shared" si="416"/>
        <v>1457433.6000000003</v>
      </c>
      <c r="U78" s="5">
        <f t="shared" si="416"/>
        <v>1463774.3999999992</v>
      </c>
      <c r="V78" s="5">
        <f t="shared" si="416"/>
        <v>1470115.2000000011</v>
      </c>
      <c r="W78" s="5">
        <f t="shared" si="416"/>
        <v>1476456.0000000002</v>
      </c>
      <c r="X78" s="5">
        <f t="shared" si="416"/>
        <v>1482796.7999999991</v>
      </c>
      <c r="Y78" s="5">
        <f t="shared" si="416"/>
        <v>1489137.600000001</v>
      </c>
      <c r="Z78" s="5">
        <f t="shared" si="416"/>
        <v>1495478.4000000001</v>
      </c>
      <c r="AA78" s="5">
        <f t="shared" si="416"/>
        <v>1501819.199999999</v>
      </c>
      <c r="AB78" s="5">
        <f t="shared" si="416"/>
        <v>1508160.0000000007</v>
      </c>
      <c r="AC78" s="5">
        <f t="shared" si="416"/>
        <v>1514500.7999999998</v>
      </c>
      <c r="AD78" s="5">
        <f t="shared" si="416"/>
        <v>1520841.5999999987</v>
      </c>
      <c r="AE78" s="5">
        <f t="shared" si="416"/>
        <v>1527182.4000000006</v>
      </c>
      <c r="AF78" s="5">
        <f t="shared" si="416"/>
        <v>1533523.1999999997</v>
      </c>
      <c r="AG78" s="5">
        <f t="shared" si="416"/>
        <v>1539863.9999999988</v>
      </c>
      <c r="AH78" s="5">
        <f t="shared" si="416"/>
        <v>1546204.8000000003</v>
      </c>
      <c r="AI78" s="5">
        <f t="shared" ref="AI78:BH78" si="417" xml:space="preserve"> SUM(AI24)</f>
        <v>1552545.5999999994</v>
      </c>
      <c r="AJ78" s="5">
        <f t="shared" si="417"/>
        <v>1558886.4000000013</v>
      </c>
      <c r="AK78" s="5">
        <f t="shared" si="417"/>
        <v>1565227.2000000002</v>
      </c>
      <c r="AL78" s="5">
        <f t="shared" si="417"/>
        <v>1571567.9999999993</v>
      </c>
      <c r="AM78" s="5">
        <f t="shared" si="417"/>
        <v>1577908.8000000012</v>
      </c>
      <c r="AN78" s="5">
        <f t="shared" si="417"/>
        <v>1584249.6000000003</v>
      </c>
      <c r="AO78" s="5">
        <f t="shared" si="417"/>
        <v>1590590.3999999992</v>
      </c>
      <c r="AP78" s="5">
        <f t="shared" si="417"/>
        <v>1596931.2000000009</v>
      </c>
      <c r="AQ78" s="5">
        <f t="shared" si="417"/>
        <v>1603272</v>
      </c>
      <c r="AR78" s="5">
        <f t="shared" si="417"/>
        <v>1609612.7999999989</v>
      </c>
      <c r="AS78" s="5">
        <f t="shared" si="417"/>
        <v>1615953.6000000008</v>
      </c>
      <c r="AT78" s="5">
        <f t="shared" si="417"/>
        <v>1622294.3999999997</v>
      </c>
      <c r="AU78" s="5">
        <f t="shared" si="417"/>
        <v>1628635.199999999</v>
      </c>
      <c r="AV78" s="5">
        <f t="shared" si="417"/>
        <v>1634976.0000000007</v>
      </c>
      <c r="AW78" s="5">
        <f t="shared" si="417"/>
        <v>1641316.7999999996</v>
      </c>
      <c r="AX78" s="5">
        <f t="shared" si="417"/>
        <v>1647657.5999999987</v>
      </c>
      <c r="AY78" s="5">
        <f t="shared" si="417"/>
        <v>1653998.4000000004</v>
      </c>
      <c r="AZ78" s="5">
        <f t="shared" si="417"/>
        <v>1660339.1999999993</v>
      </c>
      <c r="BA78" s="5">
        <f t="shared" si="417"/>
        <v>1666680.0000000012</v>
      </c>
      <c r="BB78" s="5">
        <f t="shared" si="417"/>
        <v>1673020.8000000003</v>
      </c>
      <c r="BC78" s="5">
        <f t="shared" si="417"/>
        <v>1679361.5999999994</v>
      </c>
      <c r="BD78" s="5">
        <f t="shared" si="417"/>
        <v>1685702.4000000011</v>
      </c>
      <c r="BE78" s="5">
        <f t="shared" si="417"/>
        <v>1692043.2</v>
      </c>
      <c r="BF78" s="5">
        <f t="shared" si="417"/>
        <v>1698383.9999999991</v>
      </c>
      <c r="BG78" s="5">
        <f t="shared" si="417"/>
        <v>1704724.8000000007</v>
      </c>
      <c r="BH78" s="5">
        <f t="shared" si="417"/>
        <v>1711065.6</v>
      </c>
      <c r="BI78" s="5"/>
    </row>
    <row r="79" spans="1:61" x14ac:dyDescent="0.2">
      <c r="A79" t="s">
        <v>604</v>
      </c>
      <c r="B79" s="31"/>
      <c r="C79" s="31">
        <f xml:space="preserve"> C78/(0.08 * C77)</f>
        <v>0</v>
      </c>
      <c r="D79" s="31">
        <f t="shared" ref="D79:BH79" si="418" xml:space="preserve"> D78/(0.08 * D77)</f>
        <v>0</v>
      </c>
      <c r="E79" s="31">
        <f t="shared" si="418"/>
        <v>0.3</v>
      </c>
      <c r="F79" s="31">
        <f t="shared" si="418"/>
        <v>0.3</v>
      </c>
      <c r="G79" s="31">
        <f t="shared" si="418"/>
        <v>0.29999999999999993</v>
      </c>
      <c r="H79" s="31">
        <f t="shared" si="418"/>
        <v>0.30000000000000004</v>
      </c>
      <c r="I79" s="31">
        <f t="shared" si="418"/>
        <v>0.3</v>
      </c>
      <c r="J79" s="31">
        <f t="shared" si="418"/>
        <v>0.3</v>
      </c>
      <c r="K79" s="31">
        <f t="shared" si="418"/>
        <v>0.3</v>
      </c>
      <c r="L79" s="31">
        <f t="shared" si="418"/>
        <v>0.30000000000000004</v>
      </c>
      <c r="M79" s="31">
        <f t="shared" si="418"/>
        <v>0.30000000000000004</v>
      </c>
      <c r="N79" s="31">
        <f t="shared" si="418"/>
        <v>0.3</v>
      </c>
      <c r="O79" s="31">
        <f t="shared" si="418"/>
        <v>0.3</v>
      </c>
      <c r="P79" s="31">
        <f t="shared" si="418"/>
        <v>0.3</v>
      </c>
      <c r="Q79" s="31">
        <f t="shared" si="418"/>
        <v>0.30000000000000004</v>
      </c>
      <c r="R79" s="31">
        <f t="shared" si="418"/>
        <v>0.30000000000000004</v>
      </c>
      <c r="S79" s="31">
        <f t="shared" si="418"/>
        <v>0.3</v>
      </c>
      <c r="T79" s="31">
        <f t="shared" si="418"/>
        <v>0.3</v>
      </c>
      <c r="U79" s="31">
        <f t="shared" si="418"/>
        <v>0.29999999999999993</v>
      </c>
      <c r="V79" s="31">
        <f t="shared" si="418"/>
        <v>0.3</v>
      </c>
      <c r="W79" s="31">
        <f t="shared" si="418"/>
        <v>0.3</v>
      </c>
      <c r="X79" s="31">
        <f t="shared" si="418"/>
        <v>0.3</v>
      </c>
      <c r="Y79" s="31">
        <f t="shared" si="418"/>
        <v>0.30000000000000004</v>
      </c>
      <c r="Z79" s="31">
        <f t="shared" si="418"/>
        <v>0.30000000000000004</v>
      </c>
      <c r="AA79" s="31">
        <f t="shared" si="418"/>
        <v>0.30000000000000004</v>
      </c>
      <c r="AB79" s="31">
        <f t="shared" si="418"/>
        <v>0.3</v>
      </c>
      <c r="AC79" s="31">
        <f t="shared" si="418"/>
        <v>0.30000000000000004</v>
      </c>
      <c r="AD79" s="31">
        <f t="shared" si="418"/>
        <v>0.3</v>
      </c>
      <c r="AE79" s="31">
        <f t="shared" si="418"/>
        <v>0.3</v>
      </c>
      <c r="AF79" s="31">
        <f t="shared" si="418"/>
        <v>0.3</v>
      </c>
      <c r="AG79" s="31">
        <f t="shared" si="418"/>
        <v>0.3</v>
      </c>
      <c r="AH79" s="31">
        <f t="shared" si="418"/>
        <v>0.3</v>
      </c>
      <c r="AI79" s="31">
        <f t="shared" si="418"/>
        <v>0.3</v>
      </c>
      <c r="AJ79" s="31">
        <f t="shared" si="418"/>
        <v>0.3</v>
      </c>
      <c r="AK79" s="31">
        <f t="shared" si="418"/>
        <v>0.3</v>
      </c>
      <c r="AL79" s="31">
        <f t="shared" si="418"/>
        <v>0.3</v>
      </c>
      <c r="AM79" s="31">
        <f t="shared" si="418"/>
        <v>0.30000000000000004</v>
      </c>
      <c r="AN79" s="31">
        <f t="shared" si="418"/>
        <v>0.3</v>
      </c>
      <c r="AO79" s="31">
        <f t="shared" si="418"/>
        <v>0.3</v>
      </c>
      <c r="AP79" s="31">
        <f t="shared" si="418"/>
        <v>0.3</v>
      </c>
      <c r="AQ79" s="31">
        <f t="shared" si="418"/>
        <v>0.3</v>
      </c>
      <c r="AR79" s="31">
        <f t="shared" si="418"/>
        <v>0.3</v>
      </c>
      <c r="AS79" s="31">
        <f t="shared" si="418"/>
        <v>0.3</v>
      </c>
      <c r="AT79" s="31">
        <f t="shared" si="418"/>
        <v>0.3</v>
      </c>
      <c r="AU79" s="31">
        <f t="shared" si="418"/>
        <v>0.30000000000000004</v>
      </c>
      <c r="AV79" s="31">
        <f t="shared" si="418"/>
        <v>0.3</v>
      </c>
      <c r="AW79" s="31">
        <f t="shared" si="418"/>
        <v>0.3</v>
      </c>
      <c r="AX79" s="31">
        <f t="shared" si="418"/>
        <v>0.30000000000000004</v>
      </c>
      <c r="AY79" s="31">
        <f t="shared" si="418"/>
        <v>0.30000000000000004</v>
      </c>
      <c r="AZ79" s="31">
        <f t="shared" si="418"/>
        <v>0.3</v>
      </c>
      <c r="BA79" s="31">
        <f t="shared" si="418"/>
        <v>0.3</v>
      </c>
      <c r="BB79" s="31">
        <f t="shared" si="418"/>
        <v>0.3</v>
      </c>
      <c r="BC79" s="31">
        <f t="shared" si="418"/>
        <v>0.3</v>
      </c>
      <c r="BD79" s="31">
        <f t="shared" si="418"/>
        <v>0.3</v>
      </c>
      <c r="BE79" s="31">
        <f t="shared" si="418"/>
        <v>0.3</v>
      </c>
      <c r="BF79" s="31">
        <f t="shared" si="418"/>
        <v>0.30000000000000004</v>
      </c>
      <c r="BG79" s="31">
        <f t="shared" si="418"/>
        <v>0.3</v>
      </c>
      <c r="BH79" s="31">
        <f t="shared" si="418"/>
        <v>0.3</v>
      </c>
      <c r="BI79" s="31"/>
    </row>
    <row r="80" spans="1:61" x14ac:dyDescent="0.2">
      <c r="A80" t="s">
        <v>452</v>
      </c>
      <c r="B80" s="31"/>
      <c r="C80" s="5">
        <f t="shared" ref="C80:AH80" si="419" xml:space="preserve"> SUM(C34)</f>
        <v>0</v>
      </c>
      <c r="D80" s="5">
        <f t="shared" si="419"/>
        <v>0</v>
      </c>
      <c r="E80" s="5">
        <f t="shared" si="419"/>
        <v>173375</v>
      </c>
      <c r="F80" s="5">
        <f t="shared" si="419"/>
        <v>173375</v>
      </c>
      <c r="G80" s="5">
        <f t="shared" si="419"/>
        <v>1300312.5</v>
      </c>
      <c r="H80" s="5">
        <f t="shared" si="419"/>
        <v>1820437.5</v>
      </c>
      <c r="I80" s="5">
        <f t="shared" si="419"/>
        <v>1820437.5</v>
      </c>
      <c r="J80" s="5">
        <f t="shared" si="419"/>
        <v>1820437.5</v>
      </c>
      <c r="K80" s="5">
        <f t="shared" si="419"/>
        <v>1820437.5</v>
      </c>
      <c r="L80" s="5">
        <f t="shared" si="419"/>
        <v>1820437.5</v>
      </c>
      <c r="M80" s="5">
        <f t="shared" si="419"/>
        <v>1820437.5</v>
      </c>
      <c r="N80" s="5">
        <f t="shared" si="419"/>
        <v>1820437.5</v>
      </c>
      <c r="O80" s="5">
        <f t="shared" si="419"/>
        <v>1820437.5</v>
      </c>
      <c r="P80" s="5">
        <f t="shared" si="419"/>
        <v>1820437.5</v>
      </c>
      <c r="Q80" s="5">
        <f t="shared" si="419"/>
        <v>1820437.5</v>
      </c>
      <c r="R80" s="5">
        <f t="shared" si="419"/>
        <v>1820437.5</v>
      </c>
      <c r="S80" s="5">
        <f t="shared" si="419"/>
        <v>1820437.5</v>
      </c>
      <c r="T80" s="5">
        <f t="shared" si="419"/>
        <v>1820437.5</v>
      </c>
      <c r="U80" s="5">
        <f t="shared" si="419"/>
        <v>1820437.5</v>
      </c>
      <c r="V80" s="5">
        <f t="shared" si="419"/>
        <v>1820437.5</v>
      </c>
      <c r="W80" s="5">
        <f t="shared" si="419"/>
        <v>1820437.5</v>
      </c>
      <c r="X80" s="5">
        <f t="shared" si="419"/>
        <v>1820437.5</v>
      </c>
      <c r="Y80" s="5">
        <f t="shared" si="419"/>
        <v>1820437.5</v>
      </c>
      <c r="Z80" s="5">
        <f t="shared" si="419"/>
        <v>1820437.5</v>
      </c>
      <c r="AA80" s="5">
        <f t="shared" si="419"/>
        <v>1820437.5</v>
      </c>
      <c r="AB80" s="5">
        <f t="shared" si="419"/>
        <v>1820437.5</v>
      </c>
      <c r="AC80" s="5">
        <f t="shared" si="419"/>
        <v>1820437.5</v>
      </c>
      <c r="AD80" s="5">
        <f t="shared" si="419"/>
        <v>1820437.5</v>
      </c>
      <c r="AE80" s="5">
        <f t="shared" si="419"/>
        <v>1820437.5</v>
      </c>
      <c r="AF80" s="5">
        <f t="shared" si="419"/>
        <v>1820437.5</v>
      </c>
      <c r="AG80" s="5">
        <f t="shared" si="419"/>
        <v>1820437.5</v>
      </c>
      <c r="AH80" s="5">
        <f t="shared" si="419"/>
        <v>1820437.5</v>
      </c>
      <c r="AI80" s="5">
        <f t="shared" ref="AI80:BH80" si="420" xml:space="preserve"> SUM(AI34)</f>
        <v>1820437.5</v>
      </c>
      <c r="AJ80" s="5">
        <f t="shared" si="420"/>
        <v>1820437.5</v>
      </c>
      <c r="AK80" s="5">
        <f t="shared" si="420"/>
        <v>1820437.5</v>
      </c>
      <c r="AL80" s="5">
        <f t="shared" si="420"/>
        <v>1820437.5</v>
      </c>
      <c r="AM80" s="5">
        <f t="shared" si="420"/>
        <v>1820437.5</v>
      </c>
      <c r="AN80" s="5">
        <f t="shared" si="420"/>
        <v>1560375</v>
      </c>
      <c r="AO80" s="5">
        <f t="shared" si="420"/>
        <v>1213625</v>
      </c>
      <c r="AP80" s="5">
        <f t="shared" si="420"/>
        <v>1213625</v>
      </c>
      <c r="AQ80" s="5">
        <f t="shared" si="420"/>
        <v>1213625</v>
      </c>
      <c r="AR80" s="5">
        <f t="shared" si="420"/>
        <v>1213625</v>
      </c>
      <c r="AS80" s="5">
        <f t="shared" si="420"/>
        <v>1213625</v>
      </c>
      <c r="AT80" s="5">
        <f t="shared" si="420"/>
        <v>1213625</v>
      </c>
      <c r="AU80" s="5">
        <f t="shared" si="420"/>
        <v>1213625</v>
      </c>
      <c r="AV80" s="5">
        <f t="shared" si="420"/>
        <v>1213625</v>
      </c>
      <c r="AW80" s="5">
        <f t="shared" si="420"/>
        <v>1213625</v>
      </c>
      <c r="AX80" s="5">
        <f t="shared" si="420"/>
        <v>1213625</v>
      </c>
      <c r="AY80" s="5">
        <f t="shared" si="420"/>
        <v>1213625</v>
      </c>
      <c r="AZ80" s="5">
        <f t="shared" si="420"/>
        <v>1213625</v>
      </c>
      <c r="BA80" s="5">
        <f t="shared" si="420"/>
        <v>1213625</v>
      </c>
      <c r="BB80" s="5">
        <f t="shared" si="420"/>
        <v>1213625</v>
      </c>
      <c r="BC80" s="5">
        <f t="shared" si="420"/>
        <v>1213625</v>
      </c>
      <c r="BD80" s="5">
        <f t="shared" si="420"/>
        <v>1213625</v>
      </c>
      <c r="BE80" s="5">
        <f t="shared" si="420"/>
        <v>1213625</v>
      </c>
      <c r="BF80" s="5">
        <f t="shared" si="420"/>
        <v>1213625</v>
      </c>
      <c r="BG80" s="5">
        <f t="shared" si="420"/>
        <v>1213625</v>
      </c>
      <c r="BH80" s="5">
        <f t="shared" si="420"/>
        <v>1213625</v>
      </c>
      <c r="BI80" s="5"/>
    </row>
    <row r="81" spans="1:61" x14ac:dyDescent="0.2">
      <c r="A81" t="s">
        <v>605</v>
      </c>
      <c r="B81" s="31"/>
      <c r="C81" s="31">
        <f xml:space="preserve"> C80/(0.1 * C77)</f>
        <v>0</v>
      </c>
      <c r="D81" s="31">
        <f t="shared" ref="D81:BH81" si="421" xml:space="preserve"> D80/(0.1 * D77)</f>
        <v>0</v>
      </c>
      <c r="E81" s="31">
        <f t="shared" si="421"/>
        <v>3.0543448771567571E-2</v>
      </c>
      <c r="F81" s="31">
        <f t="shared" si="421"/>
        <v>3.0401945724526366E-2</v>
      </c>
      <c r="G81" s="31">
        <f t="shared" si="421"/>
        <v>0.22696310815858475</v>
      </c>
      <c r="H81" s="31">
        <f t="shared" si="421"/>
        <v>0.31628978733754931</v>
      </c>
      <c r="I81" s="31">
        <f t="shared" si="421"/>
        <v>0.31484455259580563</v>
      </c>
      <c r="J81" s="31">
        <f t="shared" si="421"/>
        <v>0.31341246530910211</v>
      </c>
      <c r="K81" s="31">
        <f t="shared" si="421"/>
        <v>0.31199334688407243</v>
      </c>
      <c r="L81" s="31">
        <f t="shared" si="421"/>
        <v>0.31058702194742444</v>
      </c>
      <c r="M81" s="31">
        <f t="shared" si="421"/>
        <v>0.3091933182736894</v>
      </c>
      <c r="N81" s="31">
        <f t="shared" si="421"/>
        <v>0.30781206671491257</v>
      </c>
      <c r="O81" s="31">
        <f t="shared" si="421"/>
        <v>0.30644310113222034</v>
      </c>
      <c r="P81" s="31">
        <f t="shared" si="421"/>
        <v>0.30508625832919972</v>
      </c>
      <c r="Q81" s="31">
        <f t="shared" si="421"/>
        <v>0.30374137798704559</v>
      </c>
      <c r="R81" s="31">
        <f t="shared" si="421"/>
        <v>0.30240830260141544</v>
      </c>
      <c r="S81" s="31">
        <f t="shared" si="421"/>
        <v>0.30108687742093382</v>
      </c>
      <c r="T81" s="31">
        <f t="shared" si="421"/>
        <v>0.29977695038731084</v>
      </c>
      <c r="U81" s="31">
        <f t="shared" si="421"/>
        <v>0.29847837207700872</v>
      </c>
      <c r="V81" s="31">
        <f t="shared" si="421"/>
        <v>0.29719099564442275</v>
      </c>
      <c r="W81" s="31">
        <f t="shared" si="421"/>
        <v>0.29591467676652738</v>
      </c>
      <c r="X81" s="31">
        <f t="shared" si="421"/>
        <v>0.294649273588937</v>
      </c>
      <c r="Y81" s="31">
        <f t="shared" si="421"/>
        <v>0.29339464667334958</v>
      </c>
      <c r="Z81" s="31">
        <f t="shared" si="421"/>
        <v>0.2921506589463278</v>
      </c>
      <c r="AA81" s="31">
        <f t="shared" si="421"/>
        <v>0.29091717564937264</v>
      </c>
      <c r="AB81" s="31">
        <f t="shared" si="421"/>
        <v>0.28969406429026079</v>
      </c>
      <c r="AC81" s="31">
        <f t="shared" si="421"/>
        <v>0.28848119459560534</v>
      </c>
      <c r="AD81" s="31">
        <f t="shared" si="421"/>
        <v>0.28727843846459772</v>
      </c>
      <c r="AE81" s="31">
        <f t="shared" si="421"/>
        <v>0.28608566992390683</v>
      </c>
      <c r="AF81" s="31">
        <f t="shared" si="421"/>
        <v>0.2849027650836975</v>
      </c>
      <c r="AG81" s="31">
        <f t="shared" si="421"/>
        <v>0.28372960209473064</v>
      </c>
      <c r="AH81" s="31">
        <f t="shared" si="421"/>
        <v>0.28256606110652344</v>
      </c>
      <c r="AI81" s="31">
        <f t="shared" si="421"/>
        <v>0.28141202422653488</v>
      </c>
      <c r="AJ81" s="31">
        <f t="shared" si="421"/>
        <v>0.28026737548034264</v>
      </c>
      <c r="AK81" s="31">
        <f t="shared" si="421"/>
        <v>0.2791320007727951</v>
      </c>
      <c r="AL81" s="31">
        <f t="shared" si="421"/>
        <v>0.27800578785009633</v>
      </c>
      <c r="AM81" s="31">
        <f t="shared" si="421"/>
        <v>0.27688862626281041</v>
      </c>
      <c r="AN81" s="31">
        <f t="shared" si="421"/>
        <v>0.23638320628264634</v>
      </c>
      <c r="AO81" s="31">
        <f t="shared" si="421"/>
        <v>0.1831206827351656</v>
      </c>
      <c r="AP81" s="31">
        <f t="shared" si="421"/>
        <v>0.18239358088814336</v>
      </c>
      <c r="AQ81" s="31">
        <f t="shared" si="421"/>
        <v>0.18167223028905888</v>
      </c>
      <c r="AR81" s="31">
        <f t="shared" si="421"/>
        <v>0.18095656296967827</v>
      </c>
      <c r="AS81" s="31">
        <f t="shared" si="421"/>
        <v>0.18024651202856309</v>
      </c>
      <c r="AT81" s="31">
        <f t="shared" si="421"/>
        <v>0.17954201161022318</v>
      </c>
      <c r="AU81" s="31">
        <f t="shared" si="421"/>
        <v>0.17884299688475366</v>
      </c>
      <c r="AV81" s="31">
        <f t="shared" si="421"/>
        <v>0.17814940402794893</v>
      </c>
      <c r="AW81" s="31">
        <f t="shared" si="421"/>
        <v>0.17746117020187696</v>
      </c>
      <c r="AX81" s="31">
        <f t="shared" si="421"/>
        <v>0.17677823353589983</v>
      </c>
      <c r="AY81" s="31">
        <f t="shared" si="421"/>
        <v>0.17610053310813356</v>
      </c>
      <c r="AZ81" s="31">
        <f t="shared" si="421"/>
        <v>0.17542800892733251</v>
      </c>
      <c r="BA81" s="31">
        <f t="shared" si="421"/>
        <v>0.17476060191518455</v>
      </c>
      <c r="BB81" s="31">
        <f t="shared" si="421"/>
        <v>0.17409825388901318</v>
      </c>
      <c r="BC81" s="31">
        <f t="shared" si="421"/>
        <v>0.17344090754486713</v>
      </c>
      <c r="BD81" s="31">
        <f t="shared" si="421"/>
        <v>0.17278850644099444</v>
      </c>
      <c r="BE81" s="31">
        <f t="shared" si="421"/>
        <v>0.17214099498168842</v>
      </c>
      <c r="BF81" s="31">
        <f t="shared" si="421"/>
        <v>0.17149831840149232</v>
      </c>
      <c r="BG81" s="31">
        <f t="shared" si="421"/>
        <v>0.17086042274975988</v>
      </c>
      <c r="BH81" s="31">
        <f t="shared" si="421"/>
        <v>0.17022725487555826</v>
      </c>
      <c r="BI81" s="31"/>
    </row>
    <row r="82" spans="1:61" x14ac:dyDescent="0.2">
      <c r="A82" t="s">
        <v>458</v>
      </c>
      <c r="B82" s="31"/>
      <c r="C82" s="5">
        <f xml:space="preserve"> C78 + C80</f>
        <v>0</v>
      </c>
      <c r="D82" s="5">
        <f t="shared" ref="D82:AM82" si="422" xml:space="preserve"> D78 + D80</f>
        <v>0</v>
      </c>
      <c r="E82" s="5">
        <f t="shared" si="422"/>
        <v>1535696.600000001</v>
      </c>
      <c r="F82" s="5">
        <f xml:space="preserve"> F78 + F80</f>
        <v>1542037.4000000001</v>
      </c>
      <c r="G82" s="5">
        <f t="shared" si="422"/>
        <v>2675315.6999999993</v>
      </c>
      <c r="H82" s="5">
        <f t="shared" si="422"/>
        <v>3201781.5000000009</v>
      </c>
      <c r="I82" s="5">
        <f t="shared" si="422"/>
        <v>3208122.3</v>
      </c>
      <c r="J82" s="5">
        <f t="shared" si="422"/>
        <v>3214463.0999999992</v>
      </c>
      <c r="K82" s="5">
        <f t="shared" si="422"/>
        <v>3220803.9000000008</v>
      </c>
      <c r="L82" s="5">
        <f t="shared" si="422"/>
        <v>3227144.7</v>
      </c>
      <c r="M82" s="5">
        <f t="shared" si="422"/>
        <v>3233485.4999999991</v>
      </c>
      <c r="N82" s="5">
        <f t="shared" si="422"/>
        <v>3239826.3000000007</v>
      </c>
      <c r="O82" s="5">
        <f t="shared" si="422"/>
        <v>3246167.0999999996</v>
      </c>
      <c r="P82" s="5">
        <f t="shared" si="422"/>
        <v>3252507.8999999985</v>
      </c>
      <c r="Q82" s="5">
        <f t="shared" si="422"/>
        <v>3258848.7000000007</v>
      </c>
      <c r="R82" s="5">
        <f t="shared" si="422"/>
        <v>3265189.4999999995</v>
      </c>
      <c r="S82" s="5">
        <f t="shared" si="422"/>
        <v>3271530.3000000012</v>
      </c>
      <c r="T82" s="5">
        <f t="shared" si="422"/>
        <v>3277871.1000000006</v>
      </c>
      <c r="U82" s="5">
        <f t="shared" si="422"/>
        <v>3284211.8999999994</v>
      </c>
      <c r="V82" s="5">
        <f t="shared" si="422"/>
        <v>3290552.7000000011</v>
      </c>
      <c r="W82" s="5">
        <f t="shared" si="422"/>
        <v>3296893.5</v>
      </c>
      <c r="X82" s="5">
        <f t="shared" si="422"/>
        <v>3303234.2999999989</v>
      </c>
      <c r="Y82" s="5">
        <f t="shared" si="422"/>
        <v>3309575.100000001</v>
      </c>
      <c r="Z82" s="5">
        <f t="shared" si="422"/>
        <v>3315915.9000000004</v>
      </c>
      <c r="AA82" s="5">
        <f t="shared" si="422"/>
        <v>3322256.6999999993</v>
      </c>
      <c r="AB82" s="5">
        <f t="shared" si="422"/>
        <v>3328597.5000000009</v>
      </c>
      <c r="AC82" s="5">
        <f t="shared" si="422"/>
        <v>3334938.3</v>
      </c>
      <c r="AD82" s="5">
        <f t="shared" si="422"/>
        <v>3341279.0999999987</v>
      </c>
      <c r="AE82" s="5">
        <f t="shared" si="422"/>
        <v>3347619.9000000004</v>
      </c>
      <c r="AF82" s="5">
        <f t="shared" si="422"/>
        <v>3353960.6999999997</v>
      </c>
      <c r="AG82" s="5">
        <f t="shared" si="422"/>
        <v>3360301.4999999991</v>
      </c>
      <c r="AH82" s="5">
        <f t="shared" si="422"/>
        <v>3366642.3000000003</v>
      </c>
      <c r="AI82" s="5">
        <f t="shared" si="422"/>
        <v>3372983.0999999996</v>
      </c>
      <c r="AJ82" s="5">
        <f t="shared" si="422"/>
        <v>3379323.9000000013</v>
      </c>
      <c r="AK82" s="5">
        <f t="shared" si="422"/>
        <v>3385664.7</v>
      </c>
      <c r="AL82" s="5">
        <f t="shared" si="422"/>
        <v>3392005.4999999991</v>
      </c>
      <c r="AM82" s="5">
        <f t="shared" si="422"/>
        <v>3398346.3000000012</v>
      </c>
      <c r="AN82" s="5">
        <f t="shared" ref="AN82:AP82" si="423" xml:space="preserve"> AN78 + AN80</f>
        <v>3144624.6000000006</v>
      </c>
      <c r="AO82" s="5">
        <f t="shared" si="423"/>
        <v>2804215.3999999994</v>
      </c>
      <c r="AP82" s="5">
        <f t="shared" si="423"/>
        <v>2810556.2000000011</v>
      </c>
      <c r="AQ82" s="5">
        <f t="shared" ref="AQ82:AS82" si="424" xml:space="preserve"> AQ78 + AQ80</f>
        <v>2816897</v>
      </c>
      <c r="AR82" s="5">
        <f t="shared" si="424"/>
        <v>2823237.7999999989</v>
      </c>
      <c r="AS82" s="5">
        <f t="shared" si="424"/>
        <v>2829578.6000000006</v>
      </c>
      <c r="AT82" s="5">
        <f t="shared" ref="AT82:AY82" si="425" xml:space="preserve"> AT78 + AT80</f>
        <v>2835919.3999999994</v>
      </c>
      <c r="AU82" s="5">
        <f t="shared" si="425"/>
        <v>2842260.1999999993</v>
      </c>
      <c r="AV82" s="5">
        <f t="shared" si="425"/>
        <v>2848601.0000000009</v>
      </c>
      <c r="AW82" s="5">
        <f t="shared" si="425"/>
        <v>2854941.8</v>
      </c>
      <c r="AX82" s="5">
        <f t="shared" si="425"/>
        <v>2861282.5999999987</v>
      </c>
      <c r="AY82" s="5">
        <f t="shared" si="425"/>
        <v>2867623.4000000004</v>
      </c>
      <c r="AZ82" s="5">
        <f t="shared" ref="AZ82:BE82" si="426" xml:space="preserve"> AZ78 + AZ80</f>
        <v>2873964.1999999993</v>
      </c>
      <c r="BA82" s="5">
        <f t="shared" si="426"/>
        <v>2880305.0000000009</v>
      </c>
      <c r="BB82" s="5">
        <f t="shared" si="426"/>
        <v>2886645.8000000003</v>
      </c>
      <c r="BC82" s="5">
        <f t="shared" si="426"/>
        <v>2892986.5999999996</v>
      </c>
      <c r="BD82" s="5">
        <f t="shared" si="426"/>
        <v>2899327.4000000013</v>
      </c>
      <c r="BE82" s="5">
        <f t="shared" si="426"/>
        <v>2905668.2</v>
      </c>
      <c r="BF82" s="5">
        <f t="shared" ref="BF82:BG82" si="427" xml:space="preserve"> BF78 + BF80</f>
        <v>2912008.9999999991</v>
      </c>
      <c r="BG82" s="5">
        <f t="shared" si="427"/>
        <v>2918349.8000000007</v>
      </c>
      <c r="BH82" s="5">
        <f t="shared" ref="BH82" si="428" xml:space="preserve"> BH78 + BH80</f>
        <v>2924690.6</v>
      </c>
      <c r="BI82" s="5"/>
    </row>
    <row r="83" spans="1:61" s="119" customFormat="1" x14ac:dyDescent="0.2">
      <c r="A83" s="119" t="s">
        <v>508</v>
      </c>
      <c r="B83" s="134"/>
      <c r="C83" s="135">
        <f xml:space="preserve"> C82 + C89</f>
        <v>0</v>
      </c>
      <c r="D83" s="135">
        <f t="shared" ref="D83:BH83" si="429" xml:space="preserve"> D82 + D89</f>
        <v>0</v>
      </c>
      <c r="E83" s="135">
        <f t="shared" si="429"/>
        <v>1655749.9611137714</v>
      </c>
      <c r="F83" s="135">
        <f t="shared" si="429"/>
        <v>1667511.6079571892</v>
      </c>
      <c r="G83" s="135">
        <f t="shared" si="429"/>
        <v>3327902.3658930426</v>
      </c>
      <c r="H83" s="135">
        <f t="shared" si="429"/>
        <v>4399655.8732105587</v>
      </c>
      <c r="I83" s="135">
        <f t="shared" si="429"/>
        <v>4941128.8412725097</v>
      </c>
      <c r="J83" s="135">
        <f t="shared" si="429"/>
        <v>5464168.4759348948</v>
      </c>
      <c r="K83" s="135">
        <f t="shared" si="429"/>
        <v>5954331.4996218346</v>
      </c>
      <c r="L83" s="135">
        <f t="shared" si="429"/>
        <v>6395647.0522603849</v>
      </c>
      <c r="M83" s="135">
        <f t="shared" si="429"/>
        <v>6291263.9043384641</v>
      </c>
      <c r="N83" s="135">
        <f t="shared" si="429"/>
        <v>6183656.9157140646</v>
      </c>
      <c r="O83" s="135">
        <f t="shared" si="429"/>
        <v>6077883.0351612922</v>
      </c>
      <c r="P83" s="135">
        <f t="shared" si="429"/>
        <v>5976078.0268508103</v>
      </c>
      <c r="Q83" s="135">
        <f t="shared" si="429"/>
        <v>5874285.2732640337</v>
      </c>
      <c r="R83" s="135">
        <f t="shared" si="429"/>
        <v>5775570.3477374502</v>
      </c>
      <c r="S83" s="135">
        <f t="shared" si="429"/>
        <v>5677861.3443167526</v>
      </c>
      <c r="T83" s="135">
        <f t="shared" si="429"/>
        <v>5587767.1795218708</v>
      </c>
      <c r="U83" s="135">
        <f t="shared" si="429"/>
        <v>5498803.8452629</v>
      </c>
      <c r="V83" s="135">
        <f t="shared" si="429"/>
        <v>5414957.7528647603</v>
      </c>
      <c r="W83" s="135">
        <f t="shared" si="429"/>
        <v>5333943.5416701958</v>
      </c>
      <c r="X83" s="135">
        <f t="shared" si="429"/>
        <v>5259218.1406658497</v>
      </c>
      <c r="Y83" s="135">
        <f t="shared" si="429"/>
        <v>5185791.1373010967</v>
      </c>
      <c r="Z83" s="135">
        <f t="shared" si="429"/>
        <v>5115058.6027703034</v>
      </c>
      <c r="AA83" s="135">
        <f t="shared" si="429"/>
        <v>5012958.4168003444</v>
      </c>
      <c r="AB83" s="135">
        <f t="shared" si="429"/>
        <v>4926393.0895242123</v>
      </c>
      <c r="AC83" s="135">
        <f t="shared" si="429"/>
        <v>4848390.8661444718</v>
      </c>
      <c r="AD83" s="135">
        <f t="shared" si="429"/>
        <v>4781469.6629783986</v>
      </c>
      <c r="AE83" s="135">
        <f t="shared" si="429"/>
        <v>4721726.3437398514</v>
      </c>
      <c r="AF83" s="135">
        <f t="shared" si="429"/>
        <v>4667537.9667716278</v>
      </c>
      <c r="AG83" s="135">
        <f t="shared" si="429"/>
        <v>4621267.4729121197</v>
      </c>
      <c r="AH83" s="135">
        <f t="shared" si="429"/>
        <v>4579195.0517868623</v>
      </c>
      <c r="AI83" s="135">
        <f t="shared" si="429"/>
        <v>4541694.5743490458</v>
      </c>
      <c r="AJ83" s="135">
        <f t="shared" si="429"/>
        <v>4508854.7312847339</v>
      </c>
      <c r="AK83" s="135">
        <f t="shared" si="429"/>
        <v>4478982.4615607299</v>
      </c>
      <c r="AL83" s="135">
        <f t="shared" si="429"/>
        <v>4451842.2515990455</v>
      </c>
      <c r="AM83" s="135">
        <f t="shared" si="429"/>
        <v>4262600.16354887</v>
      </c>
      <c r="AN83" s="135">
        <f t="shared" si="429"/>
        <v>3830134.7388988137</v>
      </c>
      <c r="AO83" s="135">
        <f t="shared" si="429"/>
        <v>3323645.5786631512</v>
      </c>
      <c r="AP83" s="135">
        <f t="shared" si="429"/>
        <v>3329880.5903373142</v>
      </c>
      <c r="AQ83" s="135">
        <f t="shared" si="429"/>
        <v>3336296.8657456241</v>
      </c>
      <c r="AR83" s="135">
        <f t="shared" si="429"/>
        <v>3342889.0251428992</v>
      </c>
      <c r="AS83" s="135">
        <f t="shared" si="429"/>
        <v>3349652.2773906174</v>
      </c>
      <c r="AT83" s="135">
        <f t="shared" si="429"/>
        <v>3356582.37897225</v>
      </c>
      <c r="AU83" s="135">
        <f t="shared" si="429"/>
        <v>3363675.6065855585</v>
      </c>
      <c r="AV83" s="135">
        <f t="shared" si="429"/>
        <v>3370928.724716044</v>
      </c>
      <c r="AW83" s="135">
        <f t="shared" si="429"/>
        <v>3378005.2256948152</v>
      </c>
      <c r="AX83" s="135">
        <f t="shared" si="429"/>
        <v>3385243.9065153003</v>
      </c>
      <c r="AY83" s="135">
        <f t="shared" si="429"/>
        <v>3392641.9702055817</v>
      </c>
      <c r="AZ83" s="135">
        <f t="shared" si="429"/>
        <v>3399859.383111381</v>
      </c>
      <c r="BA83" s="135">
        <f t="shared" si="429"/>
        <v>3407609.717762792</v>
      </c>
      <c r="BB83" s="135">
        <f t="shared" si="429"/>
        <v>3415508.2561227302</v>
      </c>
      <c r="BC83" s="135">
        <f t="shared" si="429"/>
        <v>3423207.1454128427</v>
      </c>
      <c r="BD83" s="135">
        <f t="shared" si="429"/>
        <v>3429547.9454128444</v>
      </c>
      <c r="BE83" s="135">
        <f t="shared" si="429"/>
        <v>3435888.7454128433</v>
      </c>
      <c r="BF83" s="135">
        <f t="shared" si="429"/>
        <v>3442229.5454128422</v>
      </c>
      <c r="BG83" s="135">
        <f t="shared" si="429"/>
        <v>3448570.3454128439</v>
      </c>
      <c r="BH83" s="135">
        <f t="shared" si="429"/>
        <v>3454911.1454128437</v>
      </c>
      <c r="BI83" s="135"/>
    </row>
    <row r="84" spans="1:61" s="79" customFormat="1" x14ac:dyDescent="0.2">
      <c r="B84" s="125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</row>
    <row r="85" spans="1:61" s="79" customFormat="1" ht="12" customHeight="1" x14ac:dyDescent="0.2">
      <c r="A85" s="1" t="s">
        <v>610</v>
      </c>
      <c r="B85" s="125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</row>
    <row r="86" spans="1:61" x14ac:dyDescent="0.2">
      <c r="A86" t="s">
        <v>632</v>
      </c>
      <c r="B86" s="31"/>
      <c r="C86" s="5">
        <f xml:space="preserve"> 0.05 * C64</f>
        <v>0</v>
      </c>
      <c r="D86" s="5">
        <f t="shared" ref="D86:BH86" si="430" xml:space="preserve"> 0.05 * D64</f>
        <v>0</v>
      </c>
      <c r="E86" s="5">
        <f t="shared" si="430"/>
        <v>361.00675795371694</v>
      </c>
      <c r="F86" s="5">
        <f t="shared" si="430"/>
        <v>363.97322917288557</v>
      </c>
      <c r="G86" s="5">
        <f t="shared" si="430"/>
        <v>1833.4907172061191</v>
      </c>
      <c r="H86" s="5">
        <f t="shared" si="430"/>
        <v>3312.7154192659214</v>
      </c>
      <c r="I86" s="5">
        <f t="shared" si="430"/>
        <v>4786.4975932097532</v>
      </c>
      <c r="J86" s="5">
        <f t="shared" si="430"/>
        <v>6250.4342015213442</v>
      </c>
      <c r="K86" s="5">
        <f t="shared" si="430"/>
        <v>7696.7191850089484</v>
      </c>
      <c r="L86" s="5">
        <f t="shared" si="430"/>
        <v>9116.5080772469009</v>
      </c>
      <c r="M86" s="5">
        <f t="shared" si="430"/>
        <v>9056.1775207189767</v>
      </c>
      <c r="N86" s="5">
        <f t="shared" si="430"/>
        <v>8993.3985778668957</v>
      </c>
      <c r="O86" s="5">
        <f t="shared" si="430"/>
        <v>8930.9212894684733</v>
      </c>
      <c r="P86" s="5">
        <f t="shared" si="430"/>
        <v>8869.9669399822233</v>
      </c>
      <c r="Q86" s="5">
        <f t="shared" si="430"/>
        <v>8808.3196805083189</v>
      </c>
      <c r="R86" s="5">
        <f t="shared" si="430"/>
        <v>8747.733520344349</v>
      </c>
      <c r="S86" s="5">
        <f t="shared" si="430"/>
        <v>8687.0299362691567</v>
      </c>
      <c r="T86" s="5">
        <f t="shared" si="430"/>
        <v>8630.1275411223669</v>
      </c>
      <c r="U86" s="5">
        <f t="shared" si="430"/>
        <v>8573.2653475771513</v>
      </c>
      <c r="V86" s="5">
        <f t="shared" si="430"/>
        <v>8518.8630134704927</v>
      </c>
      <c r="W86" s="5">
        <f t="shared" si="430"/>
        <v>8465.6006600034889</v>
      </c>
      <c r="X86" s="5">
        <f t="shared" si="430"/>
        <v>8415.6564351363504</v>
      </c>
      <c r="Y86" s="5">
        <f t="shared" si="430"/>
        <v>8366.0117522747896</v>
      </c>
      <c r="Z86" s="5">
        <f t="shared" si="430"/>
        <v>8317.5580375421396</v>
      </c>
      <c r="AA86" s="5">
        <f t="shared" si="430"/>
        <v>8248.5472178812324</v>
      </c>
      <c r="AB86" s="5">
        <f t="shared" si="430"/>
        <v>8188.6147227429628</v>
      </c>
      <c r="AC86" s="5">
        <f t="shared" si="430"/>
        <v>8133.5348422928619</v>
      </c>
      <c r="AD86" s="5">
        <f t="shared" si="430"/>
        <v>8085.1543872843949</v>
      </c>
      <c r="AE86" s="5">
        <f t="shared" si="430"/>
        <v>8041.0718468538662</v>
      </c>
      <c r="AF86" s="5">
        <f t="shared" si="430"/>
        <v>8000.3159184468286</v>
      </c>
      <c r="AG86" s="5">
        <f t="shared" si="430"/>
        <v>7964.5890659861998</v>
      </c>
      <c r="AH86" s="5">
        <f t="shared" si="430"/>
        <v>7931.4585145165083</v>
      </c>
      <c r="AI86" s="5">
        <f t="shared" si="430"/>
        <v>7901.2414828202427</v>
      </c>
      <c r="AJ86" s="5">
        <f t="shared" si="430"/>
        <v>7874.0600802641511</v>
      </c>
      <c r="AK86" s="5">
        <f t="shared" si="430"/>
        <v>7848.7863282184408</v>
      </c>
      <c r="AL86" s="5">
        <f t="shared" si="430"/>
        <v>7825.2879301375797</v>
      </c>
      <c r="AM86" s="5">
        <f t="shared" si="430"/>
        <v>6554.8916973500454</v>
      </c>
      <c r="AN86" s="5">
        <f t="shared" si="430"/>
        <v>5296.3336106146489</v>
      </c>
      <c r="AO86" s="5">
        <f t="shared" si="430"/>
        <v>4046.7398227901281</v>
      </c>
      <c r="AP86" s="5">
        <f t="shared" si="430"/>
        <v>4046.6646237431778</v>
      </c>
      <c r="AQ86" s="5">
        <f t="shared" si="430"/>
        <v>4046.7182752797949</v>
      </c>
      <c r="AR86" s="5">
        <f t="shared" si="430"/>
        <v>4046.8969442616326</v>
      </c>
      <c r="AS86" s="5">
        <f t="shared" si="430"/>
        <v>4047.1971956037401</v>
      </c>
      <c r="AT86" s="5">
        <f t="shared" si="430"/>
        <v>4047.6159648977477</v>
      </c>
      <c r="AU86" s="5">
        <f t="shared" si="430"/>
        <v>4048.1505403459109</v>
      </c>
      <c r="AV86" s="5">
        <f t="shared" si="430"/>
        <v>4048.7985408290765</v>
      </c>
      <c r="AW86" s="5">
        <f t="shared" si="430"/>
        <v>4049.3209566415785</v>
      </c>
      <c r="AX86" s="5">
        <f t="shared" si="430"/>
        <v>4049.9583693114419</v>
      </c>
      <c r="AY86" s="5">
        <f t="shared" si="430"/>
        <v>4050.7086956099988</v>
      </c>
      <c r="AZ86" s="5">
        <f t="shared" si="430"/>
        <v>4051.3306250489718</v>
      </c>
      <c r="BA86" s="5">
        <f t="shared" si="430"/>
        <v>4052.3302824686093</v>
      </c>
      <c r="BB86" s="5">
        <f t="shared" si="430"/>
        <v>4053.4345270561835</v>
      </c>
      <c r="BC86" s="5">
        <f t="shared" si="430"/>
        <v>4054.3967997172122</v>
      </c>
      <c r="BD86" s="5">
        <f t="shared" si="430"/>
        <v>4054.3967997172122</v>
      </c>
      <c r="BE86" s="5">
        <f t="shared" si="430"/>
        <v>4054.3967997172122</v>
      </c>
      <c r="BF86" s="5">
        <f t="shared" si="430"/>
        <v>4054.3967997172122</v>
      </c>
      <c r="BG86" s="5">
        <f t="shared" si="430"/>
        <v>4054.3967997172122</v>
      </c>
      <c r="BH86" s="5">
        <f t="shared" si="430"/>
        <v>4054.3967997172122</v>
      </c>
      <c r="BI86" s="5"/>
    </row>
    <row r="87" spans="1:61" x14ac:dyDescent="0.2">
      <c r="A87" t="s">
        <v>611</v>
      </c>
      <c r="B87" s="31"/>
      <c r="C87" s="8">
        <f xml:space="preserve"> 0.05 * C64 / (3.5*640)</f>
        <v>0</v>
      </c>
      <c r="D87" s="8">
        <f t="shared" ref="D87:BH87" si="431" xml:space="preserve"> 0.05 * D64 / (3.5*640)</f>
        <v>0</v>
      </c>
      <c r="E87" s="8">
        <f t="shared" si="431"/>
        <v>0.16116373122933791</v>
      </c>
      <c r="F87" s="8">
        <f t="shared" si="431"/>
        <v>0.16248804873789535</v>
      </c>
      <c r="G87" s="8">
        <f t="shared" si="431"/>
        <v>0.81852264160987465</v>
      </c>
      <c r="H87" s="8">
        <f t="shared" si="431"/>
        <v>1.4788908121722864</v>
      </c>
      <c r="I87" s="8">
        <f t="shared" si="431"/>
        <v>2.1368292826829256</v>
      </c>
      <c r="J87" s="8">
        <f t="shared" si="431"/>
        <v>2.7903724113934572</v>
      </c>
      <c r="K87" s="8">
        <f t="shared" si="431"/>
        <v>3.4360353504504233</v>
      </c>
      <c r="L87" s="8">
        <f t="shared" si="431"/>
        <v>4.0698696773423668</v>
      </c>
      <c r="M87" s="8">
        <f t="shared" si="431"/>
        <v>4.0429363931781142</v>
      </c>
      <c r="N87" s="8">
        <f t="shared" si="431"/>
        <v>4.0149100794048644</v>
      </c>
      <c r="O87" s="8">
        <f t="shared" si="431"/>
        <v>3.9870184327984255</v>
      </c>
      <c r="P87" s="8">
        <f t="shared" si="431"/>
        <v>3.9598066696349212</v>
      </c>
      <c r="Q87" s="8">
        <f t="shared" si="431"/>
        <v>3.9322855716554996</v>
      </c>
      <c r="R87" s="8">
        <f t="shared" si="431"/>
        <v>3.9052381787251558</v>
      </c>
      <c r="S87" s="8">
        <f t="shared" si="431"/>
        <v>3.8781383644058733</v>
      </c>
      <c r="T87" s="8">
        <f t="shared" si="431"/>
        <v>3.8527355094296283</v>
      </c>
      <c r="U87" s="8">
        <f t="shared" si="431"/>
        <v>3.8273506015969425</v>
      </c>
      <c r="V87" s="8">
        <f t="shared" si="431"/>
        <v>3.8030638452993273</v>
      </c>
      <c r="W87" s="8">
        <f t="shared" si="431"/>
        <v>3.779286008930129</v>
      </c>
      <c r="X87" s="8">
        <f t="shared" si="431"/>
        <v>3.7569894799715851</v>
      </c>
      <c r="Y87" s="8">
        <f t="shared" si="431"/>
        <v>3.7348266751226737</v>
      </c>
      <c r="Z87" s="8">
        <f t="shared" si="431"/>
        <v>3.7131955524741693</v>
      </c>
      <c r="AA87" s="8">
        <f t="shared" si="431"/>
        <v>3.682387150839836</v>
      </c>
      <c r="AB87" s="8">
        <f t="shared" si="431"/>
        <v>3.6556315726531086</v>
      </c>
      <c r="AC87" s="8">
        <f t="shared" si="431"/>
        <v>3.6310423403093135</v>
      </c>
      <c r="AD87" s="8">
        <f t="shared" si="431"/>
        <v>3.609443922894819</v>
      </c>
      <c r="AE87" s="8">
        <f t="shared" si="431"/>
        <v>3.589764217345476</v>
      </c>
      <c r="AF87" s="8">
        <f t="shared" si="431"/>
        <v>3.5715696064494771</v>
      </c>
      <c r="AG87" s="8">
        <f t="shared" si="431"/>
        <v>3.555620118743839</v>
      </c>
      <c r="AH87" s="8">
        <f t="shared" si="431"/>
        <v>3.5408296939805841</v>
      </c>
      <c r="AI87" s="8">
        <f t="shared" si="431"/>
        <v>3.5273399476876084</v>
      </c>
      <c r="AJ87" s="8">
        <f t="shared" si="431"/>
        <v>3.5152053929750675</v>
      </c>
      <c r="AK87" s="8">
        <f t="shared" si="431"/>
        <v>3.503922467954661</v>
      </c>
      <c r="AL87" s="8">
        <f t="shared" si="431"/>
        <v>3.4934321116685623</v>
      </c>
      <c r="AM87" s="8">
        <f t="shared" si="431"/>
        <v>2.9262909363169847</v>
      </c>
      <c r="AN87" s="8">
        <f t="shared" si="431"/>
        <v>2.3644346475958256</v>
      </c>
      <c r="AO87" s="8">
        <f t="shared" si="431"/>
        <v>1.8065802780313072</v>
      </c>
      <c r="AP87" s="8">
        <f t="shared" si="431"/>
        <v>1.8065467070282044</v>
      </c>
      <c r="AQ87" s="8">
        <f t="shared" si="431"/>
        <v>1.8065706586070513</v>
      </c>
      <c r="AR87" s="8">
        <f t="shared" si="431"/>
        <v>1.8066504215453716</v>
      </c>
      <c r="AS87" s="8">
        <f t="shared" si="431"/>
        <v>1.8067844623230982</v>
      </c>
      <c r="AT87" s="8">
        <f t="shared" si="431"/>
        <v>1.8069714129007803</v>
      </c>
      <c r="AU87" s="8">
        <f t="shared" si="431"/>
        <v>1.8072100626544245</v>
      </c>
      <c r="AV87" s="8">
        <f t="shared" si="431"/>
        <v>1.8074993485844091</v>
      </c>
      <c r="AW87" s="8">
        <f t="shared" si="431"/>
        <v>1.8077325699292761</v>
      </c>
      <c r="AX87" s="8">
        <f t="shared" si="431"/>
        <v>1.8080171291568936</v>
      </c>
      <c r="AY87" s="8">
        <f t="shared" si="431"/>
        <v>1.8083520962544637</v>
      </c>
      <c r="AZ87" s="8">
        <f t="shared" si="431"/>
        <v>1.8086297433254339</v>
      </c>
      <c r="BA87" s="8">
        <f t="shared" si="431"/>
        <v>1.8090760189592006</v>
      </c>
      <c r="BB87" s="8">
        <f t="shared" si="431"/>
        <v>1.8095689852929391</v>
      </c>
      <c r="BC87" s="8">
        <f t="shared" si="431"/>
        <v>1.8099985713023268</v>
      </c>
      <c r="BD87" s="8">
        <f t="shared" si="431"/>
        <v>1.8099985713023268</v>
      </c>
      <c r="BE87" s="8">
        <f t="shared" si="431"/>
        <v>1.8099985713023268</v>
      </c>
      <c r="BF87" s="8">
        <f t="shared" si="431"/>
        <v>1.8099985713023268</v>
      </c>
      <c r="BG87" s="8">
        <f t="shared" si="431"/>
        <v>1.8099985713023268</v>
      </c>
      <c r="BH87" s="8">
        <f t="shared" si="431"/>
        <v>1.8099985713023268</v>
      </c>
      <c r="BI87" s="8"/>
    </row>
    <row r="88" spans="1:61" x14ac:dyDescent="0.2">
      <c r="A88" t="s">
        <v>612</v>
      </c>
      <c r="B88" s="31"/>
      <c r="C88" s="8">
        <f xml:space="preserve"> C87</f>
        <v>0</v>
      </c>
      <c r="D88" s="8">
        <f xml:space="preserve"> SUM($C87:D87)</f>
        <v>0</v>
      </c>
      <c r="E88" s="8">
        <f xml:space="preserve"> SUM($C87:E87)</f>
        <v>0.16116373122933791</v>
      </c>
      <c r="F88" s="8">
        <f xml:space="preserve"> SUM($C87:F87)</f>
        <v>0.32365177996723327</v>
      </c>
      <c r="G88" s="8">
        <f xml:space="preserve"> SUM($C87:G87)</f>
        <v>1.1421744215771079</v>
      </c>
      <c r="H88" s="8">
        <f xml:space="preserve"> SUM($C87:H87)</f>
        <v>2.6210652337493943</v>
      </c>
      <c r="I88" s="8">
        <f xml:space="preserve"> SUM($C87:I87)</f>
        <v>4.7578945164323194</v>
      </c>
      <c r="J88" s="8">
        <f xml:space="preserve"> SUM($C87:J87)</f>
        <v>7.548266927825777</v>
      </c>
      <c r="K88" s="8">
        <f xml:space="preserve"> SUM($C87:K87)</f>
        <v>10.9843022782762</v>
      </c>
      <c r="L88" s="8">
        <f xml:space="preserve"> SUM($C87:L87)</f>
        <v>15.054171955618568</v>
      </c>
      <c r="M88" s="8">
        <f xml:space="preserve"> SUM($C87:M87)</f>
        <v>19.097108348796681</v>
      </c>
      <c r="N88" s="8">
        <f xml:space="preserve"> SUM($C87:N87)</f>
        <v>23.112018428201544</v>
      </c>
      <c r="O88" s="8">
        <f xml:space="preserve"> SUM($C87:O87)</f>
        <v>27.09903686099997</v>
      </c>
      <c r="P88" s="8">
        <f xml:space="preserve"> SUM($C87:P87)</f>
        <v>31.058843530634892</v>
      </c>
      <c r="Q88" s="8">
        <f xml:space="preserve"> SUM($C87:Q87)</f>
        <v>34.991129102290394</v>
      </c>
      <c r="R88" s="8">
        <f xml:space="preserve"> SUM($C87:R87)</f>
        <v>38.89636728101555</v>
      </c>
      <c r="S88" s="8">
        <f xml:space="preserve"> SUM($C87:S87)</f>
        <v>42.774505645421421</v>
      </c>
      <c r="T88" s="8">
        <f xml:space="preserve"> SUM($C87:T87)</f>
        <v>46.627241154851049</v>
      </c>
      <c r="U88" s="8">
        <f xml:space="preserve"> SUM($C87:U87)</f>
        <v>50.454591756447989</v>
      </c>
      <c r="V88" s="8">
        <f xml:space="preserve"> SUM($C87:V87)</f>
        <v>54.257655601747317</v>
      </c>
      <c r="W88" s="8">
        <f xml:space="preserve"> SUM($C87:W87)</f>
        <v>58.036941610677445</v>
      </c>
      <c r="X88" s="8">
        <f xml:space="preserve"> SUM($C87:X87)</f>
        <v>61.793931090649032</v>
      </c>
      <c r="Y88" s="8">
        <f xml:space="preserve"> SUM($C87:Y87)</f>
        <v>65.528757765771701</v>
      </c>
      <c r="Z88" s="8">
        <f xml:space="preserve"> SUM($C87:Z87)</f>
        <v>69.241953318245876</v>
      </c>
      <c r="AA88" s="8">
        <f xml:space="preserve"> SUM($C87:AA87)</f>
        <v>72.924340469085706</v>
      </c>
      <c r="AB88" s="8">
        <f xml:space="preserve"> SUM($C87:AB87)</f>
        <v>76.579972041738813</v>
      </c>
      <c r="AC88" s="8">
        <f xml:space="preserve"> SUM($C87:AC87)</f>
        <v>80.21101438204812</v>
      </c>
      <c r="AD88" s="8">
        <f xml:space="preserve"> SUM($C87:AD87)</f>
        <v>83.820458304942946</v>
      </c>
      <c r="AE88" s="8">
        <f xml:space="preserve"> SUM($C87:AE87)</f>
        <v>87.410222522288421</v>
      </c>
      <c r="AF88" s="8">
        <f xml:space="preserve"> SUM($C87:AF87)</f>
        <v>90.981792128737894</v>
      </c>
      <c r="AG88" s="8">
        <f xml:space="preserve"> SUM($C87:AG87)</f>
        <v>94.53741224748174</v>
      </c>
      <c r="AH88" s="8">
        <f xml:space="preserve"> SUM($C87:AH87)</f>
        <v>98.078241941462323</v>
      </c>
      <c r="AI88" s="8">
        <f xml:space="preserve"> SUM($C87:AI87)</f>
        <v>101.60558188914993</v>
      </c>
      <c r="AJ88" s="8">
        <f xml:space="preserve"> SUM($C87:AJ87)</f>
        <v>105.12078728212499</v>
      </c>
      <c r="AK88" s="8">
        <f xml:space="preserve"> SUM($C87:AK87)</f>
        <v>108.62470975007966</v>
      </c>
      <c r="AL88" s="8">
        <f xml:space="preserve"> SUM($C87:AL87)</f>
        <v>112.11814186174823</v>
      </c>
      <c r="AM88" s="8">
        <f xml:space="preserve"> SUM($C87:AM87)</f>
        <v>115.04443279806522</v>
      </c>
      <c r="AN88" s="8">
        <f xml:space="preserve"> SUM($C87:AN87)</f>
        <v>117.40886744566104</v>
      </c>
      <c r="AO88" s="8">
        <f xml:space="preserve"> SUM($C87:AO87)</f>
        <v>119.21544772369235</v>
      </c>
      <c r="AP88" s="8">
        <f xml:space="preserve"> SUM($C87:AP87)</f>
        <v>121.02199443072055</v>
      </c>
      <c r="AQ88" s="8">
        <f xml:space="preserve"> SUM($C87:AQ87)</f>
        <v>122.82856508932761</v>
      </c>
      <c r="AR88" s="8">
        <f xml:space="preserve"> SUM($C87:AR87)</f>
        <v>124.63521551087298</v>
      </c>
      <c r="AS88" s="8">
        <f xml:space="preserve"> SUM($C87:AS87)</f>
        <v>126.44199997319608</v>
      </c>
      <c r="AT88" s="8">
        <f xml:space="preserve"> SUM($C87:AT87)</f>
        <v>128.24897138609685</v>
      </c>
      <c r="AU88" s="8">
        <f xml:space="preserve"> SUM($C87:AU87)</f>
        <v>130.05618144875129</v>
      </c>
      <c r="AV88" s="8">
        <f xml:space="preserve"> SUM($C87:AV87)</f>
        <v>131.86368079733569</v>
      </c>
      <c r="AW88" s="8">
        <f xml:space="preserve"> SUM($C87:AW87)</f>
        <v>133.67141336726496</v>
      </c>
      <c r="AX88" s="8">
        <f xml:space="preserve"> SUM($C87:AX87)</f>
        <v>135.47943049642186</v>
      </c>
      <c r="AY88" s="8">
        <f xml:space="preserve"> SUM($C87:AY87)</f>
        <v>137.28778259267631</v>
      </c>
      <c r="AZ88" s="8">
        <f xml:space="preserve"> SUM($C87:AZ87)</f>
        <v>139.09641233600175</v>
      </c>
      <c r="BA88" s="8">
        <f xml:space="preserve"> SUM($C87:BA87)</f>
        <v>140.90548835496094</v>
      </c>
      <c r="BB88" s="8">
        <f xml:space="preserve"> SUM($C87:BB87)</f>
        <v>142.71505734025388</v>
      </c>
      <c r="BC88" s="8">
        <f xml:space="preserve"> SUM($C87:BC87)</f>
        <v>144.52505591155619</v>
      </c>
      <c r="BD88" s="8">
        <f xml:space="preserve"> SUM($C87:BD87)</f>
        <v>146.33505448285851</v>
      </c>
      <c r="BE88" s="8">
        <f xml:space="preserve"> SUM($C87:BE87)</f>
        <v>148.14505305416083</v>
      </c>
      <c r="BF88" s="8">
        <f xml:space="preserve"> SUM($C87:BF87)</f>
        <v>149.95505162546314</v>
      </c>
      <c r="BG88" s="8">
        <f xml:space="preserve"> SUM($C87:BG87)</f>
        <v>151.76505019676546</v>
      </c>
      <c r="BH88" s="8">
        <f xml:space="preserve"> SUM($C87:BH87)</f>
        <v>153.57504876806777</v>
      </c>
      <c r="BI88" s="8"/>
    </row>
    <row r="89" spans="1:61" x14ac:dyDescent="0.2">
      <c r="A89" t="s">
        <v>633</v>
      </c>
      <c r="B89" s="31"/>
      <c r="C89" s="5">
        <f xml:space="preserve"> (58700/19400) * C86 * C59 * 1233481.85532 / 1000 /1000 / 1000</f>
        <v>0</v>
      </c>
      <c r="D89" s="5">
        <f t="shared" ref="D89:BH89" si="432" xml:space="preserve"> (58700/19400) * D86 * D59 * 1233481.85532 / 1000 /1000 / 1000</f>
        <v>0</v>
      </c>
      <c r="E89" s="5">
        <f t="shared" si="432"/>
        <v>120053.3611137703</v>
      </c>
      <c r="F89" s="5">
        <f t="shared" si="432"/>
        <v>125474.20795718911</v>
      </c>
      <c r="G89" s="5">
        <f t="shared" si="432"/>
        <v>652586.66589304316</v>
      </c>
      <c r="H89" s="5">
        <f t="shared" si="432"/>
        <v>1197874.3732105573</v>
      </c>
      <c r="I89" s="5">
        <f t="shared" si="432"/>
        <v>1733006.5412725096</v>
      </c>
      <c r="J89" s="5">
        <f t="shared" si="432"/>
        <v>2249705.3759348956</v>
      </c>
      <c r="K89" s="5">
        <f t="shared" si="432"/>
        <v>2733527.5996218342</v>
      </c>
      <c r="L89" s="5">
        <f t="shared" si="432"/>
        <v>3168502.3522603847</v>
      </c>
      <c r="M89" s="5">
        <f t="shared" si="432"/>
        <v>3057778.4043384655</v>
      </c>
      <c r="N89" s="5">
        <f t="shared" si="432"/>
        <v>2943830.6157140639</v>
      </c>
      <c r="O89" s="5">
        <f t="shared" si="432"/>
        <v>2831715.9351612921</v>
      </c>
      <c r="P89" s="5">
        <f t="shared" si="432"/>
        <v>2723570.1268508113</v>
      </c>
      <c r="Q89" s="5">
        <f t="shared" si="432"/>
        <v>2615436.5732640331</v>
      </c>
      <c r="R89" s="5">
        <f t="shared" si="432"/>
        <v>2510380.8477374511</v>
      </c>
      <c r="S89" s="5">
        <f t="shared" si="432"/>
        <v>2406331.044316751</v>
      </c>
      <c r="T89" s="5">
        <f t="shared" si="432"/>
        <v>2309896.0795218702</v>
      </c>
      <c r="U89" s="5">
        <f t="shared" si="432"/>
        <v>2214591.9452629001</v>
      </c>
      <c r="V89" s="5">
        <f t="shared" si="432"/>
        <v>2124405.0528647592</v>
      </c>
      <c r="W89" s="5">
        <f t="shared" si="432"/>
        <v>2037050.0416701953</v>
      </c>
      <c r="X89" s="5">
        <f t="shared" si="432"/>
        <v>1955983.8406658508</v>
      </c>
      <c r="Y89" s="5">
        <f t="shared" si="432"/>
        <v>1876216.0373010961</v>
      </c>
      <c r="Z89" s="5">
        <f t="shared" si="432"/>
        <v>1799142.702770303</v>
      </c>
      <c r="AA89" s="5">
        <f t="shared" si="432"/>
        <v>1690701.7168003449</v>
      </c>
      <c r="AB89" s="5">
        <f t="shared" si="432"/>
        <v>1597795.5895242114</v>
      </c>
      <c r="AC89" s="5">
        <f t="shared" si="432"/>
        <v>1513452.5661444718</v>
      </c>
      <c r="AD89" s="5">
        <f t="shared" si="432"/>
        <v>1440190.5629783999</v>
      </c>
      <c r="AE89" s="5">
        <f t="shared" si="432"/>
        <v>1374106.443739851</v>
      </c>
      <c r="AF89" s="5">
        <f t="shared" si="432"/>
        <v>1313577.2667716281</v>
      </c>
      <c r="AG89" s="5">
        <f t="shared" si="432"/>
        <v>1260965.9729121202</v>
      </c>
      <c r="AH89" s="5">
        <f t="shared" si="432"/>
        <v>1212552.7517868623</v>
      </c>
      <c r="AI89" s="5">
        <f t="shared" si="432"/>
        <v>1168711.4743490466</v>
      </c>
      <c r="AJ89" s="5">
        <f t="shared" si="432"/>
        <v>1129530.8312847326</v>
      </c>
      <c r="AK89" s="5">
        <f t="shared" si="432"/>
        <v>1093317.7615607297</v>
      </c>
      <c r="AL89" s="5">
        <f t="shared" si="432"/>
        <v>1059836.7515990464</v>
      </c>
      <c r="AM89" s="5">
        <f t="shared" si="432"/>
        <v>864253.86354886845</v>
      </c>
      <c r="AN89" s="5">
        <f t="shared" si="432"/>
        <v>685510.13889881293</v>
      </c>
      <c r="AO89" s="5">
        <f t="shared" si="432"/>
        <v>519430.17866315169</v>
      </c>
      <c r="AP89" s="5">
        <f t="shared" si="432"/>
        <v>519324.39033731312</v>
      </c>
      <c r="AQ89" s="5">
        <f t="shared" si="432"/>
        <v>519399.86574562424</v>
      </c>
      <c r="AR89" s="5">
        <f t="shared" si="432"/>
        <v>519651.22514290031</v>
      </c>
      <c r="AS89" s="5">
        <f t="shared" si="432"/>
        <v>520073.67739061668</v>
      </c>
      <c r="AT89" s="5">
        <f t="shared" si="432"/>
        <v>520662.9789722506</v>
      </c>
      <c r="AU89" s="5">
        <f t="shared" si="432"/>
        <v>521415.40658555931</v>
      </c>
      <c r="AV89" s="5">
        <f t="shared" si="432"/>
        <v>522327.72471604322</v>
      </c>
      <c r="AW89" s="5">
        <f t="shared" si="432"/>
        <v>523063.42569481529</v>
      </c>
      <c r="AX89" s="5">
        <f t="shared" si="432"/>
        <v>523961.30651530146</v>
      </c>
      <c r="AY89" s="5">
        <f t="shared" si="432"/>
        <v>525018.57020558149</v>
      </c>
      <c r="AZ89" s="5">
        <f t="shared" si="432"/>
        <v>525895.18311138148</v>
      </c>
      <c r="BA89" s="5">
        <f t="shared" si="432"/>
        <v>527304.71776279109</v>
      </c>
      <c r="BB89" s="5">
        <f t="shared" si="432"/>
        <v>528862.45612272981</v>
      </c>
      <c r="BC89" s="5">
        <f t="shared" si="432"/>
        <v>530220.54541284335</v>
      </c>
      <c r="BD89" s="5">
        <f t="shared" si="432"/>
        <v>530220.54541284335</v>
      </c>
      <c r="BE89" s="5">
        <f t="shared" si="432"/>
        <v>530220.54541284335</v>
      </c>
      <c r="BF89" s="5">
        <f t="shared" si="432"/>
        <v>530220.54541284335</v>
      </c>
      <c r="BG89" s="5">
        <f t="shared" si="432"/>
        <v>530220.54541284335</v>
      </c>
      <c r="BH89" s="5">
        <f t="shared" si="432"/>
        <v>530220.54541284335</v>
      </c>
      <c r="BI89" s="8"/>
    </row>
    <row r="90" spans="1:61" x14ac:dyDescent="0.2">
      <c r="A90" t="s">
        <v>615</v>
      </c>
      <c r="B90" s="31"/>
      <c r="C90" s="98">
        <f t="shared" ref="C90:AL90" si="433" xml:space="preserve"> D91</f>
        <v>0</v>
      </c>
      <c r="D90" s="98">
        <f t="shared" si="433"/>
        <v>0.16116373122933791</v>
      </c>
      <c r="E90" s="98">
        <f t="shared" si="433"/>
        <v>0.16248804873789535</v>
      </c>
      <c r="F90" s="98">
        <f t="shared" si="433"/>
        <v>0.81852264160987465</v>
      </c>
      <c r="G90" s="98">
        <f t="shared" si="433"/>
        <v>1.4788908121722864</v>
      </c>
      <c r="H90" s="98">
        <f t="shared" si="433"/>
        <v>2.1368292826829256</v>
      </c>
      <c r="I90" s="98">
        <f t="shared" si="433"/>
        <v>2.7903724113934572</v>
      </c>
      <c r="J90" s="98">
        <f t="shared" si="433"/>
        <v>3.4360353504504233</v>
      </c>
      <c r="K90" s="98">
        <f t="shared" si="433"/>
        <v>4.0698696773423668</v>
      </c>
      <c r="L90" s="98">
        <f t="shared" si="433"/>
        <v>4.0429363931781142</v>
      </c>
      <c r="M90" s="98">
        <f t="shared" si="433"/>
        <v>4.0149100794048644</v>
      </c>
      <c r="N90" s="98">
        <f t="shared" si="433"/>
        <v>3.9870184327984255</v>
      </c>
      <c r="O90" s="98">
        <f t="shared" si="433"/>
        <v>3.9598066696349212</v>
      </c>
      <c r="P90" s="98">
        <f t="shared" si="433"/>
        <v>3.9322855716554996</v>
      </c>
      <c r="Q90" s="98">
        <f t="shared" si="433"/>
        <v>3.9052381787251558</v>
      </c>
      <c r="R90" s="98">
        <f t="shared" si="433"/>
        <v>3.8781383644058733</v>
      </c>
      <c r="S90" s="98">
        <f t="shared" si="433"/>
        <v>3.8527355094296283</v>
      </c>
      <c r="T90" s="98">
        <f t="shared" si="433"/>
        <v>3.8273506015969425</v>
      </c>
      <c r="U90" s="98">
        <f t="shared" si="433"/>
        <v>3.8030638452993273</v>
      </c>
      <c r="V90" s="98">
        <f t="shared" si="433"/>
        <v>3.779286008930129</v>
      </c>
      <c r="W90" s="98">
        <f t="shared" si="433"/>
        <v>3.7569894799715851</v>
      </c>
      <c r="X90" s="98">
        <f t="shared" si="433"/>
        <v>3.7348266751226737</v>
      </c>
      <c r="Y90" s="98">
        <f t="shared" si="433"/>
        <v>3.7131955524741693</v>
      </c>
      <c r="Z90" s="98">
        <f t="shared" si="433"/>
        <v>3.682387150839836</v>
      </c>
      <c r="AA90" s="98">
        <f t="shared" si="433"/>
        <v>3.6556315726531086</v>
      </c>
      <c r="AB90" s="98">
        <f t="shared" si="433"/>
        <v>3.6310423403093135</v>
      </c>
      <c r="AC90" s="98">
        <f t="shared" si="433"/>
        <v>3.609443922894819</v>
      </c>
      <c r="AD90" s="98">
        <f t="shared" si="433"/>
        <v>3.589764217345476</v>
      </c>
      <c r="AE90" s="98">
        <f t="shared" si="433"/>
        <v>3.5715696064494771</v>
      </c>
      <c r="AF90" s="98">
        <f t="shared" si="433"/>
        <v>3.555620118743839</v>
      </c>
      <c r="AG90" s="98">
        <f t="shared" si="433"/>
        <v>3.5408296939805841</v>
      </c>
      <c r="AH90" s="98">
        <f t="shared" si="433"/>
        <v>3.5273399476876084</v>
      </c>
      <c r="AI90" s="98">
        <f t="shared" si="433"/>
        <v>3.5152053929750675</v>
      </c>
      <c r="AJ90" s="98">
        <f t="shared" si="433"/>
        <v>3.503922467954661</v>
      </c>
      <c r="AK90" s="98">
        <f t="shared" si="433"/>
        <v>3.4934321116685623</v>
      </c>
      <c r="AL90" s="98">
        <f t="shared" si="433"/>
        <v>2.9262909363169847</v>
      </c>
      <c r="AM90" s="98">
        <f t="shared" ref="AM90:BH90" si="434" xml:space="preserve"> BI91</f>
        <v>0</v>
      </c>
      <c r="AN90" s="98">
        <f t="shared" si="434"/>
        <v>0</v>
      </c>
      <c r="AO90" s="98">
        <f t="shared" si="434"/>
        <v>0</v>
      </c>
      <c r="AP90" s="98">
        <f t="shared" si="434"/>
        <v>0</v>
      </c>
      <c r="AQ90" s="98">
        <f t="shared" si="434"/>
        <v>0</v>
      </c>
      <c r="AR90" s="98">
        <f t="shared" si="434"/>
        <v>0</v>
      </c>
      <c r="AS90" s="98">
        <f t="shared" si="434"/>
        <v>0</v>
      </c>
      <c r="AT90" s="98">
        <f t="shared" si="434"/>
        <v>0</v>
      </c>
      <c r="AU90" s="98">
        <f t="shared" si="434"/>
        <v>0</v>
      </c>
      <c r="AV90" s="98">
        <f t="shared" si="434"/>
        <v>0</v>
      </c>
      <c r="AW90" s="98">
        <f t="shared" si="434"/>
        <v>0</v>
      </c>
      <c r="AX90" s="98">
        <f t="shared" si="434"/>
        <v>0</v>
      </c>
      <c r="AY90" s="98">
        <f t="shared" si="434"/>
        <v>0</v>
      </c>
      <c r="AZ90" s="98">
        <f t="shared" si="434"/>
        <v>0</v>
      </c>
      <c r="BA90" s="98">
        <f t="shared" si="434"/>
        <v>0</v>
      </c>
      <c r="BB90" s="98">
        <f t="shared" si="434"/>
        <v>0</v>
      </c>
      <c r="BC90" s="98">
        <f t="shared" si="434"/>
        <v>0</v>
      </c>
      <c r="BD90" s="98">
        <f t="shared" si="434"/>
        <v>0</v>
      </c>
      <c r="BE90" s="98">
        <f t="shared" si="434"/>
        <v>0</v>
      </c>
      <c r="BF90" s="98">
        <f t="shared" si="434"/>
        <v>0</v>
      </c>
      <c r="BG90" s="98">
        <f t="shared" si="434"/>
        <v>0</v>
      </c>
      <c r="BH90" s="98">
        <f t="shared" si="434"/>
        <v>0</v>
      </c>
    </row>
    <row r="91" spans="1:61" x14ac:dyDescent="0.2">
      <c r="A91" t="s">
        <v>614</v>
      </c>
      <c r="B91" s="31"/>
      <c r="C91" s="8">
        <f xml:space="preserve">  C87</f>
        <v>0</v>
      </c>
      <c r="D91" s="8">
        <f t="shared" ref="D91:AM91" si="435" xml:space="preserve">  D87</f>
        <v>0</v>
      </c>
      <c r="E91" s="8">
        <f t="shared" si="435"/>
        <v>0.16116373122933791</v>
      </c>
      <c r="F91" s="8">
        <f t="shared" si="435"/>
        <v>0.16248804873789535</v>
      </c>
      <c r="G91" s="8">
        <f t="shared" si="435"/>
        <v>0.81852264160987465</v>
      </c>
      <c r="H91" s="8">
        <f t="shared" si="435"/>
        <v>1.4788908121722864</v>
      </c>
      <c r="I91" s="8">
        <f t="shared" si="435"/>
        <v>2.1368292826829256</v>
      </c>
      <c r="J91" s="8">
        <f t="shared" si="435"/>
        <v>2.7903724113934572</v>
      </c>
      <c r="K91" s="8">
        <f t="shared" si="435"/>
        <v>3.4360353504504233</v>
      </c>
      <c r="L91" s="8">
        <f t="shared" si="435"/>
        <v>4.0698696773423668</v>
      </c>
      <c r="M91" s="8">
        <f t="shared" si="435"/>
        <v>4.0429363931781142</v>
      </c>
      <c r="N91" s="8">
        <f t="shared" si="435"/>
        <v>4.0149100794048644</v>
      </c>
      <c r="O91" s="8">
        <f t="shared" si="435"/>
        <v>3.9870184327984255</v>
      </c>
      <c r="P91" s="8">
        <f t="shared" si="435"/>
        <v>3.9598066696349212</v>
      </c>
      <c r="Q91" s="8">
        <f t="shared" si="435"/>
        <v>3.9322855716554996</v>
      </c>
      <c r="R91" s="8">
        <f t="shared" si="435"/>
        <v>3.9052381787251558</v>
      </c>
      <c r="S91" s="8">
        <f t="shared" si="435"/>
        <v>3.8781383644058733</v>
      </c>
      <c r="T91" s="8">
        <f t="shared" si="435"/>
        <v>3.8527355094296283</v>
      </c>
      <c r="U91" s="8">
        <f t="shared" si="435"/>
        <v>3.8273506015969425</v>
      </c>
      <c r="V91" s="8">
        <f t="shared" si="435"/>
        <v>3.8030638452993273</v>
      </c>
      <c r="W91" s="8">
        <f t="shared" si="435"/>
        <v>3.779286008930129</v>
      </c>
      <c r="X91" s="8">
        <f t="shared" si="435"/>
        <v>3.7569894799715851</v>
      </c>
      <c r="Y91" s="8">
        <f t="shared" si="435"/>
        <v>3.7348266751226737</v>
      </c>
      <c r="Z91" s="8">
        <f t="shared" si="435"/>
        <v>3.7131955524741693</v>
      </c>
      <c r="AA91" s="8">
        <f t="shared" si="435"/>
        <v>3.682387150839836</v>
      </c>
      <c r="AB91" s="8">
        <f t="shared" si="435"/>
        <v>3.6556315726531086</v>
      </c>
      <c r="AC91" s="8">
        <f t="shared" si="435"/>
        <v>3.6310423403093135</v>
      </c>
      <c r="AD91" s="8">
        <f t="shared" si="435"/>
        <v>3.609443922894819</v>
      </c>
      <c r="AE91" s="8">
        <f t="shared" si="435"/>
        <v>3.589764217345476</v>
      </c>
      <c r="AF91" s="8">
        <f t="shared" si="435"/>
        <v>3.5715696064494771</v>
      </c>
      <c r="AG91" s="8">
        <f t="shared" si="435"/>
        <v>3.555620118743839</v>
      </c>
      <c r="AH91" s="8">
        <f t="shared" si="435"/>
        <v>3.5408296939805841</v>
      </c>
      <c r="AI91" s="8">
        <f t="shared" si="435"/>
        <v>3.5273399476876084</v>
      </c>
      <c r="AJ91" s="8">
        <f t="shared" si="435"/>
        <v>3.5152053929750675</v>
      </c>
      <c r="AK91" s="8">
        <f t="shared" si="435"/>
        <v>3.503922467954661</v>
      </c>
      <c r="AL91" s="8">
        <f t="shared" si="435"/>
        <v>3.4934321116685623</v>
      </c>
      <c r="AM91" s="8">
        <f t="shared" si="435"/>
        <v>2.9262909363169847</v>
      </c>
      <c r="AN91" s="8">
        <f t="shared" ref="AN91:AP91" si="436" xml:space="preserve">  AN87</f>
        <v>2.3644346475958256</v>
      </c>
      <c r="AO91" s="8">
        <f t="shared" si="436"/>
        <v>1.8065802780313072</v>
      </c>
      <c r="AP91" s="8">
        <f t="shared" si="436"/>
        <v>1.8065467070282044</v>
      </c>
      <c r="AQ91" s="8">
        <f t="shared" ref="AQ91:AS91" si="437" xml:space="preserve">  AQ87</f>
        <v>1.8065706586070513</v>
      </c>
      <c r="AR91" s="8">
        <f t="shared" si="437"/>
        <v>1.8066504215453716</v>
      </c>
      <c r="AS91" s="8">
        <f t="shared" si="437"/>
        <v>1.8067844623230982</v>
      </c>
      <c r="AT91" s="8">
        <f t="shared" ref="AT91:AY91" si="438" xml:space="preserve">  AT87</f>
        <v>1.8069714129007803</v>
      </c>
      <c r="AU91" s="8">
        <f t="shared" si="438"/>
        <v>1.8072100626544245</v>
      </c>
      <c r="AV91" s="8">
        <f t="shared" si="438"/>
        <v>1.8074993485844091</v>
      </c>
      <c r="AW91" s="8">
        <f t="shared" si="438"/>
        <v>1.8077325699292761</v>
      </c>
      <c r="AX91" s="8">
        <f t="shared" si="438"/>
        <v>1.8080171291568936</v>
      </c>
      <c r="AY91" s="8">
        <f t="shared" si="438"/>
        <v>1.8083520962544637</v>
      </c>
      <c r="AZ91" s="8">
        <f t="shared" ref="AZ91:BE91" si="439" xml:space="preserve">  AZ87</f>
        <v>1.8086297433254339</v>
      </c>
      <c r="BA91" s="8">
        <f t="shared" si="439"/>
        <v>1.8090760189592006</v>
      </c>
      <c r="BB91" s="8">
        <f t="shared" si="439"/>
        <v>1.8095689852929391</v>
      </c>
      <c r="BC91" s="8">
        <f t="shared" si="439"/>
        <v>1.8099985713023268</v>
      </c>
      <c r="BD91" s="8">
        <f t="shared" si="439"/>
        <v>1.8099985713023268</v>
      </c>
      <c r="BE91" s="8">
        <f t="shared" si="439"/>
        <v>1.8099985713023268</v>
      </c>
      <c r="BF91" s="8">
        <f t="shared" ref="BF91:BG91" si="440" xml:space="preserve">  BF87</f>
        <v>1.8099985713023268</v>
      </c>
      <c r="BG91" s="8">
        <f t="shared" si="440"/>
        <v>1.8099985713023268</v>
      </c>
      <c r="BH91" s="8">
        <f t="shared" ref="BH91" si="441" xml:space="preserve">  BH87</f>
        <v>1.8099985713023268</v>
      </c>
    </row>
    <row r="92" spans="1:61" x14ac:dyDescent="0.2">
      <c r="A92" t="s">
        <v>613</v>
      </c>
      <c r="B92" s="31"/>
      <c r="C92">
        <v>0</v>
      </c>
      <c r="D92" s="8">
        <f xml:space="preserve"> SUM($C91:C91)</f>
        <v>0</v>
      </c>
      <c r="E92" s="8">
        <f xml:space="preserve"> SUM($C91:D91)</f>
        <v>0</v>
      </c>
      <c r="F92" s="8">
        <f xml:space="preserve"> SUM($C91:E91)</f>
        <v>0.16116373122933791</v>
      </c>
      <c r="G92" s="8">
        <f xml:space="preserve"> SUM($C91:F91)</f>
        <v>0.32365177996723327</v>
      </c>
      <c r="H92" s="8">
        <f xml:space="preserve"> SUM($C91:G91)</f>
        <v>1.1421744215771079</v>
      </c>
      <c r="I92" s="8">
        <f xml:space="preserve"> SUM($C91:H91)</f>
        <v>2.6210652337493943</v>
      </c>
      <c r="J92" s="8">
        <f xml:space="preserve"> SUM($C91:I91)</f>
        <v>4.7578945164323194</v>
      </c>
      <c r="K92" s="8">
        <f xml:space="preserve"> SUM($C91:J91)</f>
        <v>7.548266927825777</v>
      </c>
      <c r="L92" s="8">
        <f xml:space="preserve"> SUM($C91:K91)</f>
        <v>10.9843022782762</v>
      </c>
      <c r="M92" s="8">
        <f xml:space="preserve"> SUM($C91:L91)</f>
        <v>15.054171955618568</v>
      </c>
      <c r="N92" s="8">
        <f xml:space="preserve"> SUM($C91:M91)</f>
        <v>19.097108348796681</v>
      </c>
      <c r="O92" s="8">
        <f xml:space="preserve"> SUM($C91:N91)</f>
        <v>23.112018428201544</v>
      </c>
      <c r="P92" s="8">
        <f xml:space="preserve"> SUM($C91:O91)</f>
        <v>27.09903686099997</v>
      </c>
      <c r="Q92" s="8">
        <f xml:space="preserve"> SUM($C91:P91)</f>
        <v>31.058843530634892</v>
      </c>
      <c r="R92" s="8">
        <f xml:space="preserve"> SUM($C91:Q91)</f>
        <v>34.991129102290394</v>
      </c>
      <c r="S92" s="8">
        <f xml:space="preserve"> SUM($C91:R91)</f>
        <v>38.89636728101555</v>
      </c>
      <c r="T92" s="8">
        <f xml:space="preserve"> SUM($C91:S91)</f>
        <v>42.774505645421421</v>
      </c>
      <c r="U92" s="8">
        <f xml:space="preserve"> SUM($C91:T91)</f>
        <v>46.627241154851049</v>
      </c>
      <c r="V92" s="8">
        <f xml:space="preserve"> SUM($C91:U91)</f>
        <v>50.454591756447989</v>
      </c>
      <c r="W92" s="8">
        <f xml:space="preserve"> SUM($C91:V91)</f>
        <v>54.257655601747317</v>
      </c>
      <c r="X92" s="8">
        <f xml:space="preserve"> SUM($C91:W91)</f>
        <v>58.036941610677445</v>
      </c>
      <c r="Y92" s="8">
        <f xml:space="preserve"> SUM($C91:X91)</f>
        <v>61.793931090649032</v>
      </c>
      <c r="Z92" s="8">
        <f xml:space="preserve"> SUM($C91:Y91)</f>
        <v>65.528757765771701</v>
      </c>
      <c r="AA92" s="8">
        <f xml:space="preserve"> SUM($C91:Z91)</f>
        <v>69.241953318245876</v>
      </c>
      <c r="AB92" s="8">
        <f xml:space="preserve"> SUM($C91:AA91)</f>
        <v>72.924340469085706</v>
      </c>
      <c r="AC92" s="8">
        <f xml:space="preserve"> SUM($C91:AB91)</f>
        <v>76.579972041738813</v>
      </c>
      <c r="AD92" s="8">
        <f xml:space="preserve"> SUM($C91:AC91)</f>
        <v>80.21101438204812</v>
      </c>
      <c r="AE92" s="8">
        <f xml:space="preserve"> SUM($C91:AD91)</f>
        <v>83.820458304942946</v>
      </c>
      <c r="AF92" s="8">
        <f xml:space="preserve"> SUM($C91:AE91)</f>
        <v>87.410222522288421</v>
      </c>
      <c r="AG92" s="8">
        <f xml:space="preserve"> SUM($C91:AF91)</f>
        <v>90.981792128737894</v>
      </c>
      <c r="AH92" s="8">
        <f xml:space="preserve"> SUM($C91:AG91)</f>
        <v>94.53741224748174</v>
      </c>
      <c r="AI92" s="8">
        <f xml:space="preserve"> SUM($C91:AH91)</f>
        <v>98.078241941462323</v>
      </c>
      <c r="AJ92" s="8">
        <f xml:space="preserve"> SUM($C91:AI91)</f>
        <v>101.60558188914993</v>
      </c>
      <c r="AK92" s="8">
        <f xml:space="preserve"> SUM($C91:AJ91)</f>
        <v>105.12078728212499</v>
      </c>
      <c r="AL92" s="8">
        <f xml:space="preserve"> SUM($C91:AK91)</f>
        <v>108.62470975007966</v>
      </c>
      <c r="AM92" s="8">
        <f xml:space="preserve"> SUM($C91:AL91)</f>
        <v>112.11814186174823</v>
      </c>
      <c r="AN92" s="8">
        <f xml:space="preserve"> SUM($C91:AM91)</f>
        <v>115.04443279806522</v>
      </c>
      <c r="AO92" s="8">
        <f xml:space="preserve"> SUM($C91:AN91)</f>
        <v>117.40886744566104</v>
      </c>
      <c r="AP92" s="8">
        <f xml:space="preserve"> SUM($C91:AO91)</f>
        <v>119.21544772369235</v>
      </c>
      <c r="AQ92" s="8">
        <f xml:space="preserve"> SUM($C91:AP91)</f>
        <v>121.02199443072055</v>
      </c>
      <c r="AR92" s="8">
        <f xml:space="preserve"> SUM($C91:AQ91)</f>
        <v>122.82856508932761</v>
      </c>
      <c r="AS92" s="8">
        <f xml:space="preserve"> SUM($C91:AR91)</f>
        <v>124.63521551087298</v>
      </c>
      <c r="AT92" s="8">
        <f xml:space="preserve"> SUM($C91:AS91)</f>
        <v>126.44199997319608</v>
      </c>
      <c r="AU92" s="8">
        <f xml:space="preserve"> SUM($C91:AT91)</f>
        <v>128.24897138609685</v>
      </c>
      <c r="AV92" s="8">
        <f xml:space="preserve"> SUM($C91:AU91)</f>
        <v>130.05618144875129</v>
      </c>
      <c r="AW92" s="8">
        <f xml:space="preserve"> SUM($C91:AV91)</f>
        <v>131.86368079733569</v>
      </c>
      <c r="AX92" s="8">
        <f xml:space="preserve"> SUM($C91:AW91)</f>
        <v>133.67141336726496</v>
      </c>
      <c r="AY92" s="8">
        <f xml:space="preserve"> SUM($C91:AX91)</f>
        <v>135.47943049642186</v>
      </c>
      <c r="AZ92" s="8">
        <f xml:space="preserve"> SUM($C91:AY91)</f>
        <v>137.28778259267631</v>
      </c>
      <c r="BA92" s="8">
        <f xml:space="preserve"> SUM($C91:AZ91)</f>
        <v>139.09641233600175</v>
      </c>
      <c r="BB92" s="8">
        <f xml:space="preserve"> SUM($C91:BA91)</f>
        <v>140.90548835496094</v>
      </c>
      <c r="BC92" s="8">
        <f xml:space="preserve"> SUM($C91:BB91)</f>
        <v>142.71505734025388</v>
      </c>
      <c r="BD92" s="8">
        <f xml:space="preserve"> SUM($C91:BC91)</f>
        <v>144.52505591155619</v>
      </c>
      <c r="BE92" s="8">
        <f xml:space="preserve"> SUM($C91:BD91)</f>
        <v>146.33505448285851</v>
      </c>
      <c r="BF92" s="8">
        <f xml:space="preserve"> SUM($C91:BE91)</f>
        <v>148.14505305416083</v>
      </c>
      <c r="BG92" s="8">
        <f xml:space="preserve"> SUM($C91:BF91)</f>
        <v>149.95505162546314</v>
      </c>
      <c r="BH92" s="8">
        <f xml:space="preserve"> SUM($C91:BG91)</f>
        <v>151.76505019676546</v>
      </c>
      <c r="BI92" s="8"/>
    </row>
    <row r="93" spans="1:61" s="74" customFormat="1" x14ac:dyDescent="0.2">
      <c r="A93" s="74" t="s">
        <v>616</v>
      </c>
      <c r="B93" s="121"/>
      <c r="C93" s="75">
        <f>IF(C91&gt;0,(D91* 640) * 'Salt Evaporation Pond Costs'!$B$46,0)</f>
        <v>0</v>
      </c>
      <c r="D93" s="75">
        <f>IF(D91&gt;0,(E91* 640) * 'Salt Evaporation Pond Costs'!$B$46,0)</f>
        <v>0</v>
      </c>
      <c r="E93" s="75">
        <f>IF(E91&gt;0,(F91* 640) * 'Salt Evaporation Pond Costs'!$B$46,0)</f>
        <v>2871084.4288158282</v>
      </c>
      <c r="F93" s="75">
        <f>IF(F91&gt;0,(G91* 640) * 'Salt Evaporation Pond Costs'!$B$46,0)</f>
        <v>14462895.143445916</v>
      </c>
      <c r="G93" s="75">
        <f>IF(G91&gt;0,(H91* 640) * 'Salt Evaporation Pond Costs'!$B$46,0)</f>
        <v>26131278.058460623</v>
      </c>
      <c r="H93" s="75">
        <f>IF(H91&gt;0,(I91* 640) * 'Salt Evaporation Pond Costs'!$B$46,0)</f>
        <v>37756729.36072275</v>
      </c>
      <c r="I93" s="75">
        <f>IF(I91&gt;0,(J91* 640) * 'Salt Evaporation Pond Costs'!$B$46,0)</f>
        <v>49304517.120960526</v>
      </c>
      <c r="J93" s="75">
        <f>IF(J91&gt;0,(K91* 640) * 'Salt Evaporation Pond Costs'!$B$46,0)</f>
        <v>60713065.780315481</v>
      </c>
      <c r="K93" s="75">
        <f>IF(K91&gt;0,(L91* 640) * 'Salt Evaporation Pond Costs'!$B$46,0)</f>
        <v>71912608.642226964</v>
      </c>
      <c r="L93" s="75">
        <f>IF(L91&gt;0,(M91* 640) * 'Salt Evaporation Pond Costs'!$B$46,0)</f>
        <v>71436710.670766965</v>
      </c>
      <c r="M93" s="75">
        <f>IF(M91&gt;0,(N91* 640) * 'Salt Evaporation Pond Costs'!$B$46,0)</f>
        <v>70941499.40017511</v>
      </c>
      <c r="N93" s="75">
        <f>IF(N91&gt;0,(O91* 640) * 'Salt Evaporation Pond Costs'!$B$46,0)</f>
        <v>70448667.632621825</v>
      </c>
      <c r="O93" s="75">
        <f>IF(O91&gt;0,(P91* 640) * 'Salt Evaporation Pond Costs'!$B$46,0)</f>
        <v>69967849.073311135</v>
      </c>
      <c r="P93" s="75">
        <f>IF(P91&gt;0,(Q91* 640) * 'Salt Evaporation Pond Costs'!$B$46,0)</f>
        <v>69481564.718945548</v>
      </c>
      <c r="Q93" s="75">
        <f>IF(Q91&gt;0,(R91* 640) * 'Salt Evaporation Pond Costs'!$B$46,0)</f>
        <v>69003650.501342759</v>
      </c>
      <c r="R93" s="75">
        <f>IF(R91&gt;0,(S91* 640) * 'Salt Evaporation Pond Costs'!$B$46,0)</f>
        <v>68524810.023410767</v>
      </c>
      <c r="S93" s="75">
        <f>IF(S91&gt;0,(T91* 640) * 'Salt Evaporation Pond Costs'!$B$46,0)</f>
        <v>68075953.987928361</v>
      </c>
      <c r="T93" s="75">
        <f>IF(T91&gt;0,(U91* 640) * 'Salt Evaporation Pond Costs'!$B$46,0)</f>
        <v>67627415.069703579</v>
      </c>
      <c r="U93" s="75">
        <f>IF(U91&gt;0,(V91* 640) * 'Salt Evaporation Pond Costs'!$B$46,0)</f>
        <v>67198279.952541798</v>
      </c>
      <c r="V93" s="75">
        <f>IF(V91&gt;0,(W91* 640) * 'Salt Evaporation Pond Costs'!$B$46,0)</f>
        <v>66778137.201854594</v>
      </c>
      <c r="W93" s="75">
        <f>IF(W91&gt;0,(X91* 640) * 'Salt Evaporation Pond Costs'!$B$46,0)</f>
        <v>66384168.429340266</v>
      </c>
      <c r="X93" s="75">
        <f>IF(X91&gt;0,(Y91* 640) * 'Salt Evaporation Pond Costs'!$B$46,0)</f>
        <v>65992562.496504955</v>
      </c>
      <c r="Y93" s="75">
        <f>IF(Y91&gt;0,(Z91* 640) * 'Salt Evaporation Pond Costs'!$B$46,0)</f>
        <v>65610351.128368534</v>
      </c>
      <c r="Z93" s="75">
        <f>IF(Z91&gt;0,(AA91* 640) * 'Salt Evaporation Pond Costs'!$B$46,0)</f>
        <v>65065981.724611841</v>
      </c>
      <c r="AA93" s="75">
        <f>IF(AA91&gt;0,(AB91* 640) * 'Salt Evaporation Pond Costs'!$B$46,0)</f>
        <v>64593223.730946772</v>
      </c>
      <c r="AB93" s="75">
        <f>IF(AB91&gt;0,(AC91* 640) * 'Salt Evaporation Pond Costs'!$B$46,0)</f>
        <v>64158744.009840123</v>
      </c>
      <c r="AC93" s="75">
        <f>IF(AC91&gt;0,(AD91* 640) * 'Salt Evaporation Pond Costs'!$B$46,0)</f>
        <v>63777110.527208753</v>
      </c>
      <c r="AD93" s="75">
        <f>IF(AD91&gt;0,(AE91* 640) * 'Salt Evaporation Pond Costs'!$B$46,0)</f>
        <v>63429379.745743461</v>
      </c>
      <c r="AE93" s="75">
        <f>IF(AE91&gt;0,(AF91* 640) * 'Salt Evaporation Pond Costs'!$B$46,0)</f>
        <v>63107889.861178905</v>
      </c>
      <c r="AF93" s="75">
        <f>IF(AF91&gt;0,(AG91* 640) * 'Salt Evaporation Pond Costs'!$B$46,0)</f>
        <v>62826070.206410863</v>
      </c>
      <c r="AG93" s="75">
        <f>IF(AG91&gt;0,(AH91* 640) * 'Salt Evaporation Pond Costs'!$B$46,0)</f>
        <v>62564730.627511427</v>
      </c>
      <c r="AH93" s="75">
        <f>IF(AH91&gt;0,(AI91* 640) * 'Salt Evaporation Pond Costs'!$B$46,0)</f>
        <v>62326373.40166454</v>
      </c>
      <c r="AI93" s="75">
        <f>IF(AI91&gt;0,(AJ91* 640) * 'Salt Evaporation Pond Costs'!$B$46,0)</f>
        <v>62111961.748891309</v>
      </c>
      <c r="AJ93" s="75">
        <f>IF(AJ91&gt;0,(AK91* 640) * 'Salt Evaporation Pond Costs'!$B$46,0)</f>
        <v>61912597.976668023</v>
      </c>
      <c r="AK93" s="75">
        <f>IF(AK91&gt;0,(AL91* 640) * 'Salt Evaporation Pond Costs'!$B$46,0)</f>
        <v>61727238.506727368</v>
      </c>
      <c r="AL93" s="75">
        <f>IF(AL91&gt;0,(AM91* 640) * 'Salt Evaporation Pond Costs'!$B$46,0)</f>
        <v>51706131.045963898</v>
      </c>
      <c r="AM93" s="75">
        <f>IF(AM91&gt;0,(AN91* 640) * 'Salt Evaporation Pond Costs'!$B$46,0)</f>
        <v>41778404.94974082</v>
      </c>
      <c r="AN93" s="75">
        <f>IF(AN91&gt;0,(AO91* 640) * 'Salt Evaporation Pond Costs'!$B$46,0)</f>
        <v>31921390.809660103</v>
      </c>
      <c r="AO93" s="75">
        <f>IF(AO91&gt;0,(AP91* 640) * 'Salt Evaporation Pond Costs'!$B$46,0)</f>
        <v>31920797.626438219</v>
      </c>
      <c r="AP93" s="75">
        <f>IF(AP91&gt;0,(AQ91* 640) * 'Salt Evaporation Pond Costs'!$B$46,0)</f>
        <v>31921220.839133594</v>
      </c>
      <c r="AQ93" s="75">
        <f>IF(AQ91&gt;0,(AR91* 640) * 'Salt Evaporation Pond Costs'!$B$46,0)</f>
        <v>31922630.211281192</v>
      </c>
      <c r="AR93" s="75">
        <f>IF(AR91&gt;0,(AS91* 640) * 'Salt Evaporation Pond Costs'!$B$46,0)</f>
        <v>31924998.646330703</v>
      </c>
      <c r="AS93" s="75">
        <f>IF(AS91&gt;0,(AT91* 640) * 'Salt Evaporation Pond Costs'!$B$46,0)</f>
        <v>31928301.97169346</v>
      </c>
      <c r="AT93" s="75">
        <f>IF(AT91&gt;0,(AU91* 640) * 'Salt Evaporation Pond Costs'!$B$46,0)</f>
        <v>31932518.796235021</v>
      </c>
      <c r="AU93" s="75">
        <f>IF(AU91&gt;0,(AV91* 640) * 'Salt Evaporation Pond Costs'!$B$46,0)</f>
        <v>31937630.337271456</v>
      </c>
      <c r="AV93" s="75">
        <f>IF(AV91&gt;0,(AW91* 640) * 'Salt Evaporation Pond Costs'!$B$46,0)</f>
        <v>31941751.244482275</v>
      </c>
      <c r="AW93" s="75">
        <f>IF(AW91&gt;0,(AX91* 640) * 'Salt Evaporation Pond Costs'!$B$46,0)</f>
        <v>31946779.266997375</v>
      </c>
      <c r="AX93" s="75">
        <f>IF(AX91&gt;0,(AY91* 640) * 'Salt Evaporation Pond Costs'!$B$46,0)</f>
        <v>31952697.971945021</v>
      </c>
      <c r="AY93" s="75">
        <f>IF(AY91&gt;0,(AZ91* 640) * 'Salt Evaporation Pond Costs'!$B$46,0)</f>
        <v>31957603.86002947</v>
      </c>
      <c r="AZ93" s="75">
        <f>IF(AZ91&gt;0,(BA91* 640) * 'Salt Evaporation Pond Costs'!$B$46,0)</f>
        <v>31965489.33242587</v>
      </c>
      <c r="BA93" s="75">
        <f>IF(BA91&gt;0,(BB91* 640) * 'Salt Evaporation Pond Costs'!$B$46,0)</f>
        <v>31974199.806677487</v>
      </c>
      <c r="BB93" s="75">
        <f>IF(BB91&gt;0,(BC91* 640) * 'Salt Evaporation Pond Costs'!$B$46,0)</f>
        <v>31981790.381565738</v>
      </c>
      <c r="BC93" s="75">
        <f>IF(BC91&gt;0,(BD91* 640) * 'Salt Evaporation Pond Costs'!$B$46,0)</f>
        <v>31981790.381565738</v>
      </c>
      <c r="BD93" s="75">
        <f>IF(BD91&gt;0,(BE91* 640) * 'Salt Evaporation Pond Costs'!$B$46,0)</f>
        <v>31981790.381565738</v>
      </c>
      <c r="BE93" s="75">
        <f>IF(BE91&gt;0,(BF91* 640) * 'Salt Evaporation Pond Costs'!$B$46,0)</f>
        <v>31981790.381565738</v>
      </c>
      <c r="BF93" s="75">
        <f>IF(BF91&gt;0,(BG91* 640) * 'Salt Evaporation Pond Costs'!$B$46,0)</f>
        <v>31981790.381565738</v>
      </c>
      <c r="BG93" s="75">
        <f>IF(BG91&gt;0,(BH91* 640) * 'Salt Evaporation Pond Costs'!$B$46,0)</f>
        <v>31981790.381565738</v>
      </c>
      <c r="BH93" s="75">
        <f>IF(BH91&gt;0,(BI91* 640) * 'Salt Evaporation Pond Costs'!$B$46,0)</f>
        <v>0</v>
      </c>
      <c r="BI93" s="75"/>
    </row>
    <row r="94" spans="1:61" s="74" customFormat="1" x14ac:dyDescent="0.2">
      <c r="A94" s="74" t="s">
        <v>617</v>
      </c>
      <c r="B94" s="121"/>
      <c r="C94" s="75">
        <f>C91 * 640 * 'Salt Evaporation Pond Costs'!$B$53</f>
        <v>0</v>
      </c>
      <c r="D94" s="75">
        <f>D91 * 640 * 'Salt Evaporation Pond Costs'!$B$53</f>
        <v>0</v>
      </c>
      <c r="E94" s="75">
        <f>E91 * 640 * 'Salt Evaporation Pond Costs'!$B$53</f>
        <v>176377.58745738742</v>
      </c>
      <c r="F94" s="75">
        <f>F91 * 640 * 'Salt Evaporation Pond Costs'!$B$53</f>
        <v>177826.92053875266</v>
      </c>
      <c r="G94" s="75">
        <f>G91 * 640 * 'Salt Evaporation Pond Costs'!$B$53</f>
        <v>895791.17897784687</v>
      </c>
      <c r="H94" s="75">
        <f>H91 * 640 * 'Salt Evaporation Pond Costs'!$B$53</f>
        <v>1618498.1048413503</v>
      </c>
      <c r="I94" s="75">
        <f>I91 * 640 * 'Salt Evaporation Pond Costs'!$B$53</f>
        <v>2338545.9669681937</v>
      </c>
      <c r="J94" s="75">
        <f>J91 * 640 * 'Salt Evaporation Pond Costs'!$B$53</f>
        <v>3053783.5670289998</v>
      </c>
      <c r="K94" s="75">
        <f>K91 * 640 * 'Salt Evaporation Pond Costs'!$B$53</f>
        <v>3760397.0875329431</v>
      </c>
      <c r="L94" s="75">
        <f>L91 * 640 * 'Salt Evaporation Pond Costs'!$B$53</f>
        <v>4454065.3748834869</v>
      </c>
      <c r="M94" s="75">
        <f>M91 * 640 * 'Salt Evaporation Pond Costs'!$B$53</f>
        <v>4424589.5886941282</v>
      </c>
      <c r="N94" s="75">
        <f>N91 * 640 * 'Salt Evaporation Pond Costs'!$B$53</f>
        <v>4393917.5909006838</v>
      </c>
      <c r="O94" s="75">
        <f>O91 * 640 * 'Salt Evaporation Pond Costs'!$B$53</f>
        <v>4363392.9728545966</v>
      </c>
      <c r="P94" s="75">
        <f>P91 * 640 * 'Salt Evaporation Pond Costs'!$B$53</f>
        <v>4333612.419248458</v>
      </c>
      <c r="Q94" s="75">
        <f>Q91 * 640 * 'Salt Evaporation Pond Costs'!$B$53</f>
        <v>4303493.3296197793</v>
      </c>
      <c r="R94" s="75">
        <f>R91 * 640 * 'Salt Evaporation Pond Costs'!$B$53</f>
        <v>4273892.6627968103</v>
      </c>
      <c r="S94" s="75">
        <f>S91 * 640 * 'Salt Evaporation Pond Costs'!$B$53</f>
        <v>4244234.6260057883</v>
      </c>
      <c r="T94" s="75">
        <f>T91 * 640 * 'Salt Evaporation Pond Costs'!$B$53</f>
        <v>4216433.7415197855</v>
      </c>
      <c r="U94" s="75">
        <f>U91 * 640 * 'Salt Evaporation Pond Costs'!$B$53</f>
        <v>4188652.4983876939</v>
      </c>
      <c r="V94" s="75">
        <f>V91 * 640 * 'Salt Evaporation Pond Costs'!$B$53</f>
        <v>4162073.0722955838</v>
      </c>
      <c r="W94" s="75">
        <f>W91 * 640 * 'Salt Evaporation Pond Costs'!$B$53</f>
        <v>4136050.6081731333</v>
      </c>
      <c r="X94" s="75">
        <f>X91 * 640 * 'Salt Evaporation Pond Costs'!$B$53</f>
        <v>4111649.2868809029</v>
      </c>
      <c r="Y94" s="75">
        <f>Y91 * 640 * 'Salt Evaporation Pond Costs'!$B$53</f>
        <v>4087394.3132542544</v>
      </c>
      <c r="Z94" s="75">
        <f>Z91 * 640 * 'Salt Evaporation Pond Costs'!$B$53</f>
        <v>4063721.2126277308</v>
      </c>
      <c r="AA94" s="75">
        <f>AA91 * 640 * 'Salt Evaporation Pond Costs'!$B$53</f>
        <v>4030004.4978791168</v>
      </c>
      <c r="AB94" s="75">
        <f>AB91 * 640 * 'Salt Evaporation Pond Costs'!$B$53</f>
        <v>4000723.1931115617</v>
      </c>
      <c r="AC94" s="75">
        <f>AC91 * 640 * 'Salt Evaporation Pond Costs'!$B$53</f>
        <v>3973812.7372345123</v>
      </c>
      <c r="AD94" s="75">
        <f>AD91 * 640 * 'Salt Evaporation Pond Costs'!$B$53</f>
        <v>3950175.4292160897</v>
      </c>
      <c r="AE94" s="75">
        <f>AE91 * 640 * 'Salt Evaporation Pond Costs'!$B$53</f>
        <v>3928637.9594628895</v>
      </c>
      <c r="AF94" s="75">
        <f>AF91 * 640 * 'Salt Evaporation Pond Costs'!$B$53</f>
        <v>3908725.777298308</v>
      </c>
      <c r="AG94" s="75">
        <f>AG91 * 640 * 'Salt Evaporation Pond Costs'!$B$53</f>
        <v>3891270.6579532572</v>
      </c>
      <c r="AH94" s="75">
        <f>AH91 * 640 * 'Salt Evaporation Pond Costs'!$B$53</f>
        <v>3875084.0170923513</v>
      </c>
      <c r="AI94" s="75">
        <f>AI91 * 640 * 'Salt Evaporation Pond Costs'!$B$53</f>
        <v>3860320.8387493188</v>
      </c>
      <c r="AJ94" s="75">
        <f>AJ91 * 640 * 'Salt Evaporation Pond Costs'!$B$53</f>
        <v>3847040.7820719141</v>
      </c>
      <c r="AK94" s="75">
        <f>AK91 * 640 * 'Salt Evaporation Pond Costs'!$B$53</f>
        <v>3834692.7489295807</v>
      </c>
      <c r="AL94" s="75">
        <f>AL91 * 640 * 'Salt Evaporation Pond Costs'!$B$53</f>
        <v>3823212.1030100747</v>
      </c>
      <c r="AM94" s="75">
        <f>AM91 * 640 * 'Salt Evaporation Pond Costs'!$B$53</f>
        <v>3202532.8007053081</v>
      </c>
      <c r="AN94" s="75">
        <f>AN91 * 640 * 'Salt Evaporation Pond Costs'!$B$53</f>
        <v>2587637.2783288714</v>
      </c>
      <c r="AO94" s="75">
        <f>AO91 * 640 * 'Salt Evaporation Pond Costs'!$B$53</f>
        <v>1977121.4562774624</v>
      </c>
      <c r="AP94" s="75">
        <f>AP91 * 640 * 'Salt Evaporation Pond Costs'!$B$53</f>
        <v>1977084.7161716667</v>
      </c>
      <c r="AQ94" s="75">
        <f>AQ91 * 640 * 'Salt Evaporation Pond Costs'!$B$53</f>
        <v>1977110.9287795569</v>
      </c>
      <c r="AR94" s="75">
        <f>AR91 * 640 * 'Salt Evaporation Pond Costs'!$B$53</f>
        <v>1977198.2213392546</v>
      </c>
      <c r="AS94" s="75">
        <f>AS91 * 640 * 'Salt Evaporation Pond Costs'!$B$53</f>
        <v>1977344.9155663988</v>
      </c>
      <c r="AT94" s="75">
        <f>AT91 * 640 * 'Salt Evaporation Pond Costs'!$B$53</f>
        <v>1977549.514278614</v>
      </c>
      <c r="AU94" s="75">
        <f>AU91 * 640 * 'Salt Evaporation Pond Costs'!$B$53</f>
        <v>1977810.692569002</v>
      </c>
      <c r="AV94" s="75">
        <f>AV91 * 640 * 'Salt Evaporation Pond Costs'!$B$53</f>
        <v>1978127.2870907772</v>
      </c>
      <c r="AW94" s="75">
        <f>AW91 * 640 * 'Salt Evaporation Pond Costs'!$B$53</f>
        <v>1978382.5245305998</v>
      </c>
      <c r="AX94" s="75">
        <f>AX91 * 640 * 'Salt Evaporation Pond Costs'!$B$53</f>
        <v>1978693.9461493045</v>
      </c>
      <c r="AY94" s="75">
        <f>AY91 * 640 * 'Salt Evaporation Pond Costs'!$B$53</f>
        <v>1979060.5341408849</v>
      </c>
      <c r="AZ94" s="75">
        <f>AZ91 * 640 * 'Salt Evaporation Pond Costs'!$B$53</f>
        <v>1979364.3910953547</v>
      </c>
      <c r="BA94" s="75">
        <f>BA91 * 640 * 'Salt Evaporation Pond Costs'!$B$53</f>
        <v>1979852.7951489489</v>
      </c>
      <c r="BB94" s="75">
        <f>BB91 * 640 * 'Salt Evaporation Pond Costs'!$B$53</f>
        <v>1980392.2975045925</v>
      </c>
      <c r="BC94" s="75">
        <f>BC91 * 640 * 'Salt Evaporation Pond Costs'!$B$53</f>
        <v>1980862.4364332666</v>
      </c>
      <c r="BD94" s="75">
        <f>BD91 * 640 * 'Salt Evaporation Pond Costs'!$B$53</f>
        <v>1980862.4364332666</v>
      </c>
      <c r="BE94" s="75">
        <f>BE91 * 640 * 'Salt Evaporation Pond Costs'!$B$53</f>
        <v>1980862.4364332666</v>
      </c>
      <c r="BF94" s="75">
        <f>BF91 * 640 * 'Salt Evaporation Pond Costs'!$B$53</f>
        <v>1980862.4364332666</v>
      </c>
      <c r="BG94" s="75">
        <f>BG91 * 640 * 'Salt Evaporation Pond Costs'!$B$53</f>
        <v>1980862.4364332666</v>
      </c>
      <c r="BH94" s="75">
        <f>BH91 * 640 * 'Salt Evaporation Pond Costs'!$B$53</f>
        <v>1980862.4364332666</v>
      </c>
      <c r="BI94" s="75"/>
    </row>
    <row r="95" spans="1:61" s="79" customFormat="1" x14ac:dyDescent="0.2">
      <c r="A95" s="103"/>
      <c r="B95" s="130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80"/>
    </row>
    <row r="96" spans="1:61" s="91" customFormat="1" x14ac:dyDescent="0.2">
      <c r="A96" s="99" t="s">
        <v>609</v>
      </c>
      <c r="B96" s="127"/>
      <c r="C96" s="90">
        <f xml:space="preserve"> (C48 + C60 - C65)</f>
        <v>0</v>
      </c>
      <c r="D96" s="90">
        <f t="shared" ref="D96:BH96" si="442" xml:space="preserve"> (D48 + D60 - D65)</f>
        <v>0</v>
      </c>
      <c r="E96" s="90">
        <f t="shared" si="442"/>
        <v>5320.6444578769242</v>
      </c>
      <c r="F96" s="90">
        <f t="shared" si="442"/>
        <v>5320.6444578769242</v>
      </c>
      <c r="G96" s="90">
        <f t="shared" si="442"/>
        <v>26603.222289384619</v>
      </c>
      <c r="H96" s="90">
        <f t="shared" si="442"/>
        <v>47885.800120892316</v>
      </c>
      <c r="I96" s="90">
        <f t="shared" si="442"/>
        <v>69168.377952400013</v>
      </c>
      <c r="J96" s="90">
        <f t="shared" si="442"/>
        <v>90450.955783907717</v>
      </c>
      <c r="K96" s="90">
        <f t="shared" si="442"/>
        <v>111733.53361541541</v>
      </c>
      <c r="L96" s="90">
        <f t="shared" si="442"/>
        <v>133016.11144692311</v>
      </c>
      <c r="M96" s="90">
        <f t="shared" si="442"/>
        <v>133016.11144692311</v>
      </c>
      <c r="N96" s="90">
        <f t="shared" si="442"/>
        <v>133016.11144692311</v>
      </c>
      <c r="O96" s="90">
        <f t="shared" si="442"/>
        <v>133016.11144692311</v>
      </c>
      <c r="P96" s="90">
        <f t="shared" si="442"/>
        <v>133016.11144692311</v>
      </c>
      <c r="Q96" s="90">
        <f t="shared" si="442"/>
        <v>133016.11144692311</v>
      </c>
      <c r="R96" s="90">
        <f t="shared" si="442"/>
        <v>133016.11144692311</v>
      </c>
      <c r="S96" s="90">
        <f t="shared" si="442"/>
        <v>133016.11144692311</v>
      </c>
      <c r="T96" s="90">
        <f t="shared" si="442"/>
        <v>133016.11144692311</v>
      </c>
      <c r="U96" s="90">
        <f t="shared" si="442"/>
        <v>133016.11144692311</v>
      </c>
      <c r="V96" s="90">
        <f t="shared" si="442"/>
        <v>133016.11144692311</v>
      </c>
      <c r="W96" s="90">
        <f t="shared" si="442"/>
        <v>133016.11144692311</v>
      </c>
      <c r="X96" s="90">
        <f t="shared" si="442"/>
        <v>133016.11144692311</v>
      </c>
      <c r="Y96" s="90">
        <f t="shared" si="442"/>
        <v>133016.11144692311</v>
      </c>
      <c r="Z96" s="90">
        <f t="shared" si="442"/>
        <v>133016.11144692311</v>
      </c>
      <c r="AA96" s="90">
        <f t="shared" si="442"/>
        <v>133016.11144692311</v>
      </c>
      <c r="AB96" s="90">
        <f t="shared" si="442"/>
        <v>133016.11144692311</v>
      </c>
      <c r="AC96" s="90">
        <f t="shared" si="442"/>
        <v>133016.11144692311</v>
      </c>
      <c r="AD96" s="90">
        <f t="shared" si="442"/>
        <v>133016.11144692311</v>
      </c>
      <c r="AE96" s="90">
        <f t="shared" si="442"/>
        <v>133016.11144692311</v>
      </c>
      <c r="AF96" s="90">
        <f t="shared" si="442"/>
        <v>133016.11144692311</v>
      </c>
      <c r="AG96" s="90">
        <f t="shared" si="442"/>
        <v>133016.11144692311</v>
      </c>
      <c r="AH96" s="90">
        <f t="shared" si="442"/>
        <v>133016.11144692311</v>
      </c>
      <c r="AI96" s="90">
        <f t="shared" si="442"/>
        <v>133016.11144692311</v>
      </c>
      <c r="AJ96" s="90">
        <f t="shared" si="442"/>
        <v>133016.11144692311</v>
      </c>
      <c r="AK96" s="90">
        <f t="shared" si="442"/>
        <v>133016.11144692311</v>
      </c>
      <c r="AL96" s="90">
        <f t="shared" si="442"/>
        <v>133016.11144692311</v>
      </c>
      <c r="AM96" s="90">
        <f t="shared" si="442"/>
        <v>111733.53361541541</v>
      </c>
      <c r="AN96" s="90">
        <f t="shared" si="442"/>
        <v>90450.955783907717</v>
      </c>
      <c r="AO96" s="90">
        <f t="shared" si="442"/>
        <v>69168.377952400013</v>
      </c>
      <c r="AP96" s="90">
        <f t="shared" si="442"/>
        <v>69168.377952400013</v>
      </c>
      <c r="AQ96" s="90">
        <f t="shared" si="442"/>
        <v>69168.377952400013</v>
      </c>
      <c r="AR96" s="90">
        <f t="shared" si="442"/>
        <v>69168.377952400013</v>
      </c>
      <c r="AS96" s="90">
        <f t="shared" si="442"/>
        <v>69168.377952400013</v>
      </c>
      <c r="AT96" s="90">
        <f t="shared" si="442"/>
        <v>69168.377952400013</v>
      </c>
      <c r="AU96" s="90">
        <f t="shared" si="442"/>
        <v>69168.377952400013</v>
      </c>
      <c r="AV96" s="90">
        <f t="shared" si="442"/>
        <v>69168.377952400013</v>
      </c>
      <c r="AW96" s="90">
        <f t="shared" si="442"/>
        <v>69168.377952400013</v>
      </c>
      <c r="AX96" s="90">
        <f t="shared" si="442"/>
        <v>69168.377952400013</v>
      </c>
      <c r="AY96" s="90">
        <f t="shared" si="442"/>
        <v>69168.377952400013</v>
      </c>
      <c r="AZ96" s="90">
        <f t="shared" si="442"/>
        <v>69168.377952400013</v>
      </c>
      <c r="BA96" s="90">
        <f t="shared" si="442"/>
        <v>69168.377952400013</v>
      </c>
      <c r="BB96" s="90">
        <f t="shared" si="442"/>
        <v>69168.377952400013</v>
      </c>
      <c r="BC96" s="90">
        <f t="shared" si="442"/>
        <v>69168.377952400013</v>
      </c>
      <c r="BD96" s="90">
        <f t="shared" si="442"/>
        <v>69168.377952400013</v>
      </c>
      <c r="BE96" s="90">
        <f t="shared" si="442"/>
        <v>69168.377952400013</v>
      </c>
      <c r="BF96" s="90">
        <f t="shared" si="442"/>
        <v>69168.377952400013</v>
      </c>
      <c r="BG96" s="90">
        <f t="shared" si="442"/>
        <v>69168.377952400013</v>
      </c>
      <c r="BH96" s="90">
        <f t="shared" si="442"/>
        <v>69168.377952400013</v>
      </c>
      <c r="BI96" s="93"/>
    </row>
    <row r="97" spans="1:61" s="119" customFormat="1" x14ac:dyDescent="0.2">
      <c r="A97" s="116" t="s">
        <v>620</v>
      </c>
      <c r="B97" s="132"/>
      <c r="C97" s="117">
        <f t="shared" ref="C97:AH97" si="443" xml:space="preserve"> C27  + 640 *  C92</f>
        <v>0</v>
      </c>
      <c r="D97" s="117">
        <f t="shared" si="443"/>
        <v>0</v>
      </c>
      <c r="E97" s="117">
        <f t="shared" si="443"/>
        <v>309.57659732192786</v>
      </c>
      <c r="F97" s="117">
        <f t="shared" si="443"/>
        <v>414.16228097408782</v>
      </c>
      <c r="G97" s="117">
        <f t="shared" si="443"/>
        <v>519.59552783172467</v>
      </c>
      <c r="H97" s="117">
        <f t="shared" si="443"/>
        <v>1044.8909141274287</v>
      </c>
      <c r="I97" s="117">
        <f t="shared" si="443"/>
        <v>2059.3956678846803</v>
      </c>
      <c r="J97" s="117">
        <f t="shared" si="443"/>
        <v>3665.6333567068186</v>
      </c>
      <c r="K97" s="117">
        <f t="shared" si="443"/>
        <v>5677.8848724821964</v>
      </c>
      <c r="L97" s="117">
        <f t="shared" si="443"/>
        <v>8084.9670564870266</v>
      </c>
      <c r="M97" s="117">
        <f t="shared" si="443"/>
        <v>10647.80211793914</v>
      </c>
      <c r="N97" s="117">
        <f t="shared" si="443"/>
        <v>13191.700205316887</v>
      </c>
      <c r="O97" s="117">
        <f t="shared" si="443"/>
        <v>15717.870860700014</v>
      </c>
      <c r="P97" s="117">
        <f t="shared" si="443"/>
        <v>18227.248087955006</v>
      </c>
      <c r="Q97" s="117">
        <f t="shared" si="443"/>
        <v>20718.728767986198</v>
      </c>
      <c r="R97" s="117">
        <f t="shared" si="443"/>
        <v>23193.332561501618</v>
      </c>
      <c r="S97" s="117">
        <f t="shared" si="443"/>
        <v>25650.544507746243</v>
      </c>
      <c r="T97" s="117">
        <f t="shared" si="443"/>
        <v>28093.051361942413</v>
      </c>
      <c r="U97" s="117">
        <f t="shared" si="443"/>
        <v>30519.328296945387</v>
      </c>
      <c r="V97" s="117">
        <f t="shared" si="443"/>
        <v>32931.066527792056</v>
      </c>
      <c r="W97" s="117">
        <f t="shared" si="443"/>
        <v>35328.052610296465</v>
      </c>
      <c r="X97" s="117">
        <f t="shared" si="443"/>
        <v>37712.124325682358</v>
      </c>
      <c r="Y97" s="117">
        <f t="shared" si="443"/>
        <v>40082.134204891488</v>
      </c>
      <c r="Z97" s="117">
        <f t="shared" si="443"/>
        <v>42438.786660251033</v>
      </c>
      <c r="AA97" s="117">
        <f t="shared" si="443"/>
        <v>44767.324434530274</v>
      </c>
      <c r="AB97" s="117">
        <f t="shared" si="443"/>
        <v>47082.447013631398</v>
      </c>
      <c r="AC97" s="117">
        <f t="shared" si="443"/>
        <v>49383.814712611871</v>
      </c>
      <c r="AD97" s="117">
        <f t="shared" si="443"/>
        <v>51680.648193467321</v>
      </c>
      <c r="AE97" s="117">
        <f t="shared" si="443"/>
        <v>53992.133199785392</v>
      </c>
      <c r="AF97" s="117">
        <f t="shared" si="443"/>
        <v>56291.02319455189</v>
      </c>
      <c r="AG97" s="117">
        <f t="shared" si="443"/>
        <v>58578.268638344925</v>
      </c>
      <c r="AH97" s="117">
        <f t="shared" si="443"/>
        <v>60855.306410006371</v>
      </c>
      <c r="AI97" s="117">
        <f t="shared" ref="AI97:BH97" si="444" xml:space="preserve"> AI27  + 640 *  AI92</f>
        <v>63122.878309819338</v>
      </c>
      <c r="AJ97" s="117">
        <f t="shared" si="444"/>
        <v>65381.816772004779</v>
      </c>
      <c r="AK97" s="117">
        <f t="shared" si="444"/>
        <v>67632.989119174221</v>
      </c>
      <c r="AL97" s="117">
        <f t="shared" si="444"/>
        <v>69876.940394330581</v>
      </c>
      <c r="AM97" s="117">
        <f t="shared" si="444"/>
        <v>72114.177841463839</v>
      </c>
      <c r="AN97" s="117">
        <f t="shared" si="444"/>
        <v>73988.444936372107</v>
      </c>
      <c r="AO97" s="117">
        <f t="shared" si="444"/>
        <v>75503.124006498823</v>
      </c>
      <c r="AP97" s="117">
        <f t="shared" si="444"/>
        <v>76660.776280104226</v>
      </c>
      <c r="AQ97" s="117">
        <f t="shared" si="444"/>
        <v>77818.407068267668</v>
      </c>
      <c r="AR97" s="117">
        <f t="shared" si="444"/>
        <v>78976.053185441575</v>
      </c>
      <c r="AS97" s="117">
        <f t="shared" si="444"/>
        <v>80133.750350895993</v>
      </c>
      <c r="AT97" s="117">
        <f t="shared" si="444"/>
        <v>81291.533302448166</v>
      </c>
      <c r="AU97" s="117">
        <f t="shared" si="444"/>
        <v>82449.435902370038</v>
      </c>
      <c r="AV97" s="117">
        <f t="shared" si="444"/>
        <v>83607.491238134258</v>
      </c>
      <c r="AW97" s="117">
        <f t="shared" si="444"/>
        <v>84765.731716893672</v>
      </c>
      <c r="AX97" s="117">
        <f t="shared" si="444"/>
        <v>85924.121457313769</v>
      </c>
      <c r="AY97" s="117">
        <f t="shared" si="444"/>
        <v>87082.693315639568</v>
      </c>
      <c r="AZ97" s="117">
        <f t="shared" si="444"/>
        <v>88241.479552907811</v>
      </c>
      <c r="BA97" s="117">
        <f t="shared" si="444"/>
        <v>89400.443484301475</v>
      </c>
      <c r="BB97" s="117">
        <f t="shared" si="444"/>
        <v>90559.693032100738</v>
      </c>
      <c r="BC97" s="117">
        <f t="shared" si="444"/>
        <v>91719.25807835361</v>
      </c>
      <c r="BD97" s="117">
        <f t="shared" si="444"/>
        <v>92879.098059652461</v>
      </c>
      <c r="BE97" s="117">
        <f t="shared" si="444"/>
        <v>94038.93804095134</v>
      </c>
      <c r="BF97" s="117">
        <f t="shared" si="444"/>
        <v>95198.778022250204</v>
      </c>
      <c r="BG97" s="117">
        <f t="shared" si="444"/>
        <v>96358.618003549069</v>
      </c>
      <c r="BH97" s="117">
        <f t="shared" si="444"/>
        <v>97518.457984847948</v>
      </c>
      <c r="BI97" s="118"/>
    </row>
    <row r="98" spans="1:61" s="87" customFormat="1" x14ac:dyDescent="0.2">
      <c r="A98" s="168" t="s">
        <v>585</v>
      </c>
      <c r="B98" s="171"/>
      <c r="C98" s="89">
        <f t="shared" ref="C98:AH98" si="445" xml:space="preserve"> C64</f>
        <v>0</v>
      </c>
      <c r="D98" s="89">
        <f t="shared" si="445"/>
        <v>0</v>
      </c>
      <c r="E98" s="89">
        <f t="shared" si="445"/>
        <v>7220.1351590743379</v>
      </c>
      <c r="F98" s="89">
        <f t="shared" si="445"/>
        <v>7279.4645834577104</v>
      </c>
      <c r="G98" s="89">
        <f t="shared" si="445"/>
        <v>36669.81434412238</v>
      </c>
      <c r="H98" s="89">
        <f t="shared" si="445"/>
        <v>66254.308385318422</v>
      </c>
      <c r="I98" s="89">
        <f t="shared" si="445"/>
        <v>95729.951864195056</v>
      </c>
      <c r="J98" s="89">
        <f t="shared" si="445"/>
        <v>125008.68403042687</v>
      </c>
      <c r="K98" s="89">
        <f t="shared" si="445"/>
        <v>153934.38370017897</v>
      </c>
      <c r="L98" s="89">
        <f t="shared" si="445"/>
        <v>182330.16154493802</v>
      </c>
      <c r="M98" s="89">
        <f t="shared" si="445"/>
        <v>181123.55041437954</v>
      </c>
      <c r="N98" s="89">
        <f t="shared" si="445"/>
        <v>179867.97155733791</v>
      </c>
      <c r="O98" s="89">
        <f t="shared" si="445"/>
        <v>178618.42578936947</v>
      </c>
      <c r="P98" s="89">
        <f t="shared" si="445"/>
        <v>177399.33879964447</v>
      </c>
      <c r="Q98" s="89">
        <f t="shared" si="445"/>
        <v>176166.39361016636</v>
      </c>
      <c r="R98" s="89">
        <f t="shared" si="445"/>
        <v>174954.67040688699</v>
      </c>
      <c r="S98" s="89">
        <f t="shared" si="445"/>
        <v>173740.59872538311</v>
      </c>
      <c r="T98" s="89">
        <f t="shared" si="445"/>
        <v>172602.55082244735</v>
      </c>
      <c r="U98" s="89">
        <f t="shared" si="445"/>
        <v>171465.30695154303</v>
      </c>
      <c r="V98" s="89">
        <f t="shared" si="445"/>
        <v>170377.26026940986</v>
      </c>
      <c r="W98" s="89">
        <f t="shared" si="445"/>
        <v>169312.01320006978</v>
      </c>
      <c r="X98" s="89">
        <f t="shared" si="445"/>
        <v>168313.128702727</v>
      </c>
      <c r="Y98" s="89">
        <f t="shared" si="445"/>
        <v>167320.23504549579</v>
      </c>
      <c r="Z98" s="89">
        <f t="shared" si="445"/>
        <v>166351.16075084277</v>
      </c>
      <c r="AA98" s="89">
        <f t="shared" si="445"/>
        <v>164970.94435762463</v>
      </c>
      <c r="AB98" s="89">
        <f t="shared" si="445"/>
        <v>163772.29445485925</v>
      </c>
      <c r="AC98" s="89">
        <f t="shared" si="445"/>
        <v>162670.69684585722</v>
      </c>
      <c r="AD98" s="89">
        <f t="shared" si="445"/>
        <v>161703.0877456879</v>
      </c>
      <c r="AE98" s="89">
        <f t="shared" si="445"/>
        <v>160821.43693707732</v>
      </c>
      <c r="AF98" s="89">
        <f t="shared" si="445"/>
        <v>160006.31836893657</v>
      </c>
      <c r="AG98" s="89">
        <f t="shared" si="445"/>
        <v>159291.78131972399</v>
      </c>
      <c r="AH98" s="89">
        <f t="shared" si="445"/>
        <v>158629.17029033016</v>
      </c>
      <c r="AI98" s="89">
        <f t="shared" ref="AI98:BH98" si="446" xml:space="preserve"> AI64</f>
        <v>158024.82965640485</v>
      </c>
      <c r="AJ98" s="89">
        <f t="shared" si="446"/>
        <v>157481.20160528301</v>
      </c>
      <c r="AK98" s="89">
        <f t="shared" si="446"/>
        <v>156975.72656436882</v>
      </c>
      <c r="AL98" s="89">
        <f t="shared" si="446"/>
        <v>156505.75860275159</v>
      </c>
      <c r="AM98" s="89">
        <f t="shared" si="446"/>
        <v>131097.83394700091</v>
      </c>
      <c r="AN98" s="89">
        <f t="shared" si="446"/>
        <v>105926.67221229298</v>
      </c>
      <c r="AO98" s="89">
        <f t="shared" si="446"/>
        <v>80934.796455802556</v>
      </c>
      <c r="AP98" s="89">
        <f t="shared" si="446"/>
        <v>80933.292474863556</v>
      </c>
      <c r="AQ98" s="89">
        <f t="shared" si="446"/>
        <v>80934.365505595895</v>
      </c>
      <c r="AR98" s="89">
        <f t="shared" si="446"/>
        <v>80937.938885232652</v>
      </c>
      <c r="AS98" s="89">
        <f t="shared" si="446"/>
        <v>80943.943912074799</v>
      </c>
      <c r="AT98" s="89">
        <f t="shared" si="446"/>
        <v>80952.319297954949</v>
      </c>
      <c r="AU98" s="89">
        <f t="shared" si="446"/>
        <v>80963.010806918217</v>
      </c>
      <c r="AV98" s="89">
        <f t="shared" si="446"/>
        <v>80975.970816581525</v>
      </c>
      <c r="AW98" s="89">
        <f t="shared" si="446"/>
        <v>80986.419132831565</v>
      </c>
      <c r="AX98" s="89">
        <f t="shared" si="446"/>
        <v>80999.16738622883</v>
      </c>
      <c r="AY98" s="89">
        <f t="shared" si="446"/>
        <v>81014.173912199971</v>
      </c>
      <c r="AZ98" s="89">
        <f t="shared" si="446"/>
        <v>81026.612500979434</v>
      </c>
      <c r="BA98" s="89">
        <f t="shared" si="446"/>
        <v>81046.605649372184</v>
      </c>
      <c r="BB98" s="89">
        <f t="shared" si="446"/>
        <v>81068.690541123666</v>
      </c>
      <c r="BC98" s="89">
        <f t="shared" si="446"/>
        <v>81087.93599434424</v>
      </c>
      <c r="BD98" s="89">
        <f t="shared" si="446"/>
        <v>81087.93599434424</v>
      </c>
      <c r="BE98" s="89">
        <f t="shared" si="446"/>
        <v>81087.93599434424</v>
      </c>
      <c r="BF98" s="89">
        <f t="shared" si="446"/>
        <v>81087.93599434424</v>
      </c>
      <c r="BG98" s="89">
        <f t="shared" si="446"/>
        <v>81087.93599434424</v>
      </c>
      <c r="BH98" s="89">
        <f t="shared" si="446"/>
        <v>81087.93599434424</v>
      </c>
      <c r="BI98" s="88"/>
    </row>
    <row r="99" spans="1:61" x14ac:dyDescent="0.2">
      <c r="A99" t="s">
        <v>477</v>
      </c>
      <c r="B99" s="31"/>
      <c r="C99" s="78">
        <v>0</v>
      </c>
      <c r="D99" s="10">
        <f>$C99</f>
        <v>0</v>
      </c>
      <c r="E99" s="10">
        <f t="shared" ref="E99:BH99" si="447">$C99</f>
        <v>0</v>
      </c>
      <c r="F99" s="10">
        <f t="shared" si="447"/>
        <v>0</v>
      </c>
      <c r="G99" s="10">
        <f t="shared" si="447"/>
        <v>0</v>
      </c>
      <c r="H99" s="10">
        <f t="shared" si="447"/>
        <v>0</v>
      </c>
      <c r="I99" s="10">
        <f t="shared" si="447"/>
        <v>0</v>
      </c>
      <c r="J99" s="10">
        <f t="shared" si="447"/>
        <v>0</v>
      </c>
      <c r="K99" s="10">
        <f t="shared" si="447"/>
        <v>0</v>
      </c>
      <c r="L99" s="10">
        <f t="shared" si="447"/>
        <v>0</v>
      </c>
      <c r="M99" s="10">
        <f t="shared" si="447"/>
        <v>0</v>
      </c>
      <c r="N99" s="10">
        <f t="shared" si="447"/>
        <v>0</v>
      </c>
      <c r="O99" s="10">
        <f t="shared" si="447"/>
        <v>0</v>
      </c>
      <c r="P99" s="10">
        <f t="shared" si="447"/>
        <v>0</v>
      </c>
      <c r="Q99" s="10">
        <f t="shared" si="447"/>
        <v>0</v>
      </c>
      <c r="R99" s="10">
        <f t="shared" si="447"/>
        <v>0</v>
      </c>
      <c r="S99" s="10">
        <f t="shared" si="447"/>
        <v>0</v>
      </c>
      <c r="T99" s="10">
        <f t="shared" si="447"/>
        <v>0</v>
      </c>
      <c r="U99" s="10">
        <f t="shared" si="447"/>
        <v>0</v>
      </c>
      <c r="V99" s="10">
        <f t="shared" si="447"/>
        <v>0</v>
      </c>
      <c r="W99" s="10">
        <f t="shared" si="447"/>
        <v>0</v>
      </c>
      <c r="X99" s="10">
        <f t="shared" si="447"/>
        <v>0</v>
      </c>
      <c r="Y99" s="10">
        <f t="shared" si="447"/>
        <v>0</v>
      </c>
      <c r="Z99" s="10">
        <f t="shared" si="447"/>
        <v>0</v>
      </c>
      <c r="AA99" s="10">
        <f t="shared" si="447"/>
        <v>0</v>
      </c>
      <c r="AB99" s="10">
        <f t="shared" si="447"/>
        <v>0</v>
      </c>
      <c r="AC99" s="10">
        <f t="shared" si="447"/>
        <v>0</v>
      </c>
      <c r="AD99" s="10">
        <f t="shared" si="447"/>
        <v>0</v>
      </c>
      <c r="AE99" s="10">
        <f t="shared" si="447"/>
        <v>0</v>
      </c>
      <c r="AF99" s="10">
        <f t="shared" si="447"/>
        <v>0</v>
      </c>
      <c r="AG99" s="10">
        <f t="shared" si="447"/>
        <v>0</v>
      </c>
      <c r="AH99" s="10">
        <f t="shared" si="447"/>
        <v>0</v>
      </c>
      <c r="AI99" s="10">
        <f t="shared" si="447"/>
        <v>0</v>
      </c>
      <c r="AJ99" s="10">
        <f t="shared" si="447"/>
        <v>0</v>
      </c>
      <c r="AK99" s="10">
        <f t="shared" si="447"/>
        <v>0</v>
      </c>
      <c r="AL99" s="10">
        <f t="shared" si="447"/>
        <v>0</v>
      </c>
      <c r="AM99" s="10">
        <f t="shared" si="447"/>
        <v>0</v>
      </c>
      <c r="AN99" s="10">
        <f t="shared" si="447"/>
        <v>0</v>
      </c>
      <c r="AO99" s="10">
        <f t="shared" si="447"/>
        <v>0</v>
      </c>
      <c r="AP99" s="10">
        <f t="shared" si="447"/>
        <v>0</v>
      </c>
      <c r="AQ99" s="10">
        <f t="shared" si="447"/>
        <v>0</v>
      </c>
      <c r="AR99" s="10">
        <f t="shared" si="447"/>
        <v>0</v>
      </c>
      <c r="AS99" s="10">
        <f t="shared" si="447"/>
        <v>0</v>
      </c>
      <c r="AT99" s="10">
        <f t="shared" si="447"/>
        <v>0</v>
      </c>
      <c r="AU99" s="10">
        <f t="shared" si="447"/>
        <v>0</v>
      </c>
      <c r="AV99" s="10">
        <f t="shared" si="447"/>
        <v>0</v>
      </c>
      <c r="AW99" s="10">
        <f t="shared" si="447"/>
        <v>0</v>
      </c>
      <c r="AX99" s="10">
        <f t="shared" si="447"/>
        <v>0</v>
      </c>
      <c r="AY99" s="10">
        <f t="shared" si="447"/>
        <v>0</v>
      </c>
      <c r="AZ99" s="10">
        <f t="shared" si="447"/>
        <v>0</v>
      </c>
      <c r="BA99" s="10">
        <f t="shared" si="447"/>
        <v>0</v>
      </c>
      <c r="BB99" s="10">
        <f t="shared" si="447"/>
        <v>0</v>
      </c>
      <c r="BC99" s="10">
        <f t="shared" si="447"/>
        <v>0</v>
      </c>
      <c r="BD99" s="10">
        <f t="shared" si="447"/>
        <v>0</v>
      </c>
      <c r="BE99" s="10">
        <f t="shared" si="447"/>
        <v>0</v>
      </c>
      <c r="BF99" s="10">
        <f t="shared" si="447"/>
        <v>0</v>
      </c>
      <c r="BG99" s="10">
        <f t="shared" si="447"/>
        <v>0</v>
      </c>
      <c r="BH99" s="10">
        <f t="shared" si="447"/>
        <v>0</v>
      </c>
      <c r="BI99" s="10"/>
    </row>
    <row r="100" spans="1:61" s="76" customFormat="1" x14ac:dyDescent="0.2">
      <c r="A100" s="76" t="s">
        <v>478</v>
      </c>
      <c r="B100" s="123"/>
      <c r="C100" s="77">
        <f t="shared" ref="C100:AH100" si="448" xml:space="preserve"> C96 * C99</f>
        <v>0</v>
      </c>
      <c r="D100" s="77">
        <f t="shared" si="448"/>
        <v>0</v>
      </c>
      <c r="E100" s="77">
        <f t="shared" si="448"/>
        <v>0</v>
      </c>
      <c r="F100" s="77">
        <f t="shared" si="448"/>
        <v>0</v>
      </c>
      <c r="G100" s="77">
        <f t="shared" si="448"/>
        <v>0</v>
      </c>
      <c r="H100" s="77">
        <f t="shared" si="448"/>
        <v>0</v>
      </c>
      <c r="I100" s="77">
        <f t="shared" si="448"/>
        <v>0</v>
      </c>
      <c r="J100" s="77">
        <f t="shared" si="448"/>
        <v>0</v>
      </c>
      <c r="K100" s="77">
        <f t="shared" si="448"/>
        <v>0</v>
      </c>
      <c r="L100" s="77">
        <f t="shared" si="448"/>
        <v>0</v>
      </c>
      <c r="M100" s="77">
        <f t="shared" si="448"/>
        <v>0</v>
      </c>
      <c r="N100" s="77">
        <f t="shared" si="448"/>
        <v>0</v>
      </c>
      <c r="O100" s="77">
        <f t="shared" si="448"/>
        <v>0</v>
      </c>
      <c r="P100" s="77">
        <f t="shared" si="448"/>
        <v>0</v>
      </c>
      <c r="Q100" s="77">
        <f t="shared" si="448"/>
        <v>0</v>
      </c>
      <c r="R100" s="77">
        <f t="shared" si="448"/>
        <v>0</v>
      </c>
      <c r="S100" s="77">
        <f t="shared" si="448"/>
        <v>0</v>
      </c>
      <c r="T100" s="77">
        <f t="shared" si="448"/>
        <v>0</v>
      </c>
      <c r="U100" s="77">
        <f t="shared" si="448"/>
        <v>0</v>
      </c>
      <c r="V100" s="77">
        <f t="shared" si="448"/>
        <v>0</v>
      </c>
      <c r="W100" s="77">
        <f t="shared" si="448"/>
        <v>0</v>
      </c>
      <c r="X100" s="77">
        <f t="shared" si="448"/>
        <v>0</v>
      </c>
      <c r="Y100" s="77">
        <f t="shared" si="448"/>
        <v>0</v>
      </c>
      <c r="Z100" s="77">
        <f t="shared" si="448"/>
        <v>0</v>
      </c>
      <c r="AA100" s="77">
        <f t="shared" si="448"/>
        <v>0</v>
      </c>
      <c r="AB100" s="77">
        <f t="shared" si="448"/>
        <v>0</v>
      </c>
      <c r="AC100" s="77">
        <f t="shared" si="448"/>
        <v>0</v>
      </c>
      <c r="AD100" s="77">
        <f t="shared" si="448"/>
        <v>0</v>
      </c>
      <c r="AE100" s="77">
        <f t="shared" si="448"/>
        <v>0</v>
      </c>
      <c r="AF100" s="77">
        <f t="shared" si="448"/>
        <v>0</v>
      </c>
      <c r="AG100" s="77">
        <f t="shared" si="448"/>
        <v>0</v>
      </c>
      <c r="AH100" s="77">
        <f t="shared" si="448"/>
        <v>0</v>
      </c>
      <c r="AI100" s="77">
        <f t="shared" ref="AI100:BH100" si="449" xml:space="preserve"> AI96 * AI99</f>
        <v>0</v>
      </c>
      <c r="AJ100" s="77">
        <f t="shared" si="449"/>
        <v>0</v>
      </c>
      <c r="AK100" s="77">
        <f t="shared" si="449"/>
        <v>0</v>
      </c>
      <c r="AL100" s="77">
        <f t="shared" si="449"/>
        <v>0</v>
      </c>
      <c r="AM100" s="77">
        <f t="shared" si="449"/>
        <v>0</v>
      </c>
      <c r="AN100" s="77">
        <f t="shared" si="449"/>
        <v>0</v>
      </c>
      <c r="AO100" s="77">
        <f t="shared" si="449"/>
        <v>0</v>
      </c>
      <c r="AP100" s="77">
        <f t="shared" si="449"/>
        <v>0</v>
      </c>
      <c r="AQ100" s="77">
        <f t="shared" si="449"/>
        <v>0</v>
      </c>
      <c r="AR100" s="77">
        <f t="shared" si="449"/>
        <v>0</v>
      </c>
      <c r="AS100" s="77">
        <f t="shared" si="449"/>
        <v>0</v>
      </c>
      <c r="AT100" s="77">
        <f t="shared" si="449"/>
        <v>0</v>
      </c>
      <c r="AU100" s="77">
        <f t="shared" si="449"/>
        <v>0</v>
      </c>
      <c r="AV100" s="77">
        <f t="shared" si="449"/>
        <v>0</v>
      </c>
      <c r="AW100" s="77">
        <f t="shared" si="449"/>
        <v>0</v>
      </c>
      <c r="AX100" s="77">
        <f t="shared" si="449"/>
        <v>0</v>
      </c>
      <c r="AY100" s="77">
        <f t="shared" si="449"/>
        <v>0</v>
      </c>
      <c r="AZ100" s="77">
        <f t="shared" si="449"/>
        <v>0</v>
      </c>
      <c r="BA100" s="77">
        <f t="shared" si="449"/>
        <v>0</v>
      </c>
      <c r="BB100" s="77">
        <f t="shared" si="449"/>
        <v>0</v>
      </c>
      <c r="BC100" s="77">
        <f t="shared" si="449"/>
        <v>0</v>
      </c>
      <c r="BD100" s="77">
        <f t="shared" si="449"/>
        <v>0</v>
      </c>
      <c r="BE100" s="77">
        <f t="shared" si="449"/>
        <v>0</v>
      </c>
      <c r="BF100" s="77">
        <f t="shared" si="449"/>
        <v>0</v>
      </c>
      <c r="BG100" s="77">
        <f t="shared" si="449"/>
        <v>0</v>
      </c>
      <c r="BH100" s="77">
        <f t="shared" si="449"/>
        <v>0</v>
      </c>
      <c r="BI100" s="77"/>
    </row>
    <row r="101" spans="1:61" s="76" customFormat="1" x14ac:dyDescent="0.2">
      <c r="B101" s="123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</row>
    <row r="102" spans="1:61" x14ac:dyDescent="0.2">
      <c r="A102" s="1" t="s">
        <v>580</v>
      </c>
      <c r="B102" s="31"/>
    </row>
    <row r="103" spans="1:61" s="72" customFormat="1" x14ac:dyDescent="0.2">
      <c r="A103" s="72" t="s">
        <v>26</v>
      </c>
      <c r="B103" s="128"/>
      <c r="C103" s="73">
        <f t="shared" ref="C103:AH103" si="450">SUM(C29,C39,C67)</f>
        <v>0</v>
      </c>
      <c r="D103" s="73">
        <f t="shared" si="450"/>
        <v>0</v>
      </c>
      <c r="E103" s="73">
        <f t="shared" si="450"/>
        <v>184017491.70800009</v>
      </c>
      <c r="F103" s="73">
        <f t="shared" si="450"/>
        <v>189479585.91800001</v>
      </c>
      <c r="G103" s="73">
        <f t="shared" si="450"/>
        <v>445609864.03199995</v>
      </c>
      <c r="H103" s="73">
        <f t="shared" si="450"/>
        <v>573987047.92500007</v>
      </c>
      <c r="I103" s="73">
        <f t="shared" si="450"/>
        <v>586725715.72199988</v>
      </c>
      <c r="J103" s="73">
        <f t="shared" si="450"/>
        <v>599501667.42299986</v>
      </c>
      <c r="K103" s="73">
        <f t="shared" si="450"/>
        <v>612314903.028</v>
      </c>
      <c r="L103" s="73">
        <f t="shared" si="450"/>
        <v>625165422.53699982</v>
      </c>
      <c r="M103" s="73">
        <f t="shared" si="450"/>
        <v>638053225.94999969</v>
      </c>
      <c r="N103" s="73">
        <f t="shared" si="450"/>
        <v>650978313.26699996</v>
      </c>
      <c r="O103" s="73">
        <f t="shared" si="450"/>
        <v>663940684.4879998</v>
      </c>
      <c r="P103" s="73">
        <f t="shared" si="450"/>
        <v>676940339.61299968</v>
      </c>
      <c r="Q103" s="73">
        <f t="shared" si="450"/>
        <v>689977278.64199996</v>
      </c>
      <c r="R103" s="73">
        <f t="shared" si="450"/>
        <v>703051501.57499981</v>
      </c>
      <c r="S103" s="73">
        <f t="shared" si="450"/>
        <v>716163008.41200018</v>
      </c>
      <c r="T103" s="73">
        <f t="shared" si="450"/>
        <v>729311799.15300012</v>
      </c>
      <c r="U103" s="73">
        <f t="shared" si="450"/>
        <v>742497873.79799998</v>
      </c>
      <c r="V103" s="73">
        <f t="shared" si="450"/>
        <v>755721232.34700036</v>
      </c>
      <c r="W103" s="73">
        <f t="shared" si="450"/>
        <v>768981874.80000019</v>
      </c>
      <c r="X103" s="73">
        <f t="shared" si="450"/>
        <v>782279801.15700006</v>
      </c>
      <c r="Y103" s="73">
        <f t="shared" si="450"/>
        <v>795615011.41800034</v>
      </c>
      <c r="Z103" s="73">
        <f t="shared" si="450"/>
        <v>808987505.5830003</v>
      </c>
      <c r="AA103" s="73">
        <f t="shared" si="450"/>
        <v>822397283.65200007</v>
      </c>
      <c r="AB103" s="73">
        <f t="shared" si="450"/>
        <v>835844345.62500036</v>
      </c>
      <c r="AC103" s="73">
        <f t="shared" si="450"/>
        <v>849328691.50200033</v>
      </c>
      <c r="AD103" s="73">
        <f t="shared" si="450"/>
        <v>862850321.28300023</v>
      </c>
      <c r="AE103" s="73">
        <f t="shared" si="450"/>
        <v>876409234.96800065</v>
      </c>
      <c r="AF103" s="73">
        <f t="shared" si="450"/>
        <v>890005432.5570004</v>
      </c>
      <c r="AG103" s="73">
        <f t="shared" si="450"/>
        <v>903638914.05000019</v>
      </c>
      <c r="AH103" s="73">
        <f t="shared" si="450"/>
        <v>917309679.44700074</v>
      </c>
      <c r="AI103" s="73">
        <f t="shared" ref="AI103:BH103" si="451">SUM(AI29,AI39,AI67)</f>
        <v>931017728.7480005</v>
      </c>
      <c r="AJ103" s="73">
        <f t="shared" si="451"/>
        <v>944763061.95300078</v>
      </c>
      <c r="AK103" s="73">
        <f t="shared" si="451"/>
        <v>958545679.06200075</v>
      </c>
      <c r="AL103" s="73">
        <f t="shared" si="451"/>
        <v>972365580.07500052</v>
      </c>
      <c r="AM103" s="73">
        <f t="shared" si="451"/>
        <v>986222764.99200094</v>
      </c>
      <c r="AN103" s="73">
        <f t="shared" si="451"/>
        <v>904947361.9380008</v>
      </c>
      <c r="AO103" s="73">
        <f t="shared" si="451"/>
        <v>789346317.78800035</v>
      </c>
      <c r="AP103" s="73">
        <f t="shared" si="451"/>
        <v>800675720.04200077</v>
      </c>
      <c r="AQ103" s="73">
        <f t="shared" si="451"/>
        <v>812042406.20000052</v>
      </c>
      <c r="AR103" s="73">
        <f t="shared" si="451"/>
        <v>823446376.26200032</v>
      </c>
      <c r="AS103" s="73">
        <f t="shared" si="451"/>
        <v>834887630.22800076</v>
      </c>
      <c r="AT103" s="73">
        <f t="shared" si="451"/>
        <v>846366168.09800053</v>
      </c>
      <c r="AU103" s="73">
        <f t="shared" si="451"/>
        <v>857881989.87200046</v>
      </c>
      <c r="AV103" s="73">
        <f t="shared" si="451"/>
        <v>869435095.55000091</v>
      </c>
      <c r="AW103" s="73">
        <f t="shared" si="451"/>
        <v>881025485.13200057</v>
      </c>
      <c r="AX103" s="73">
        <f t="shared" si="451"/>
        <v>892653158.61800039</v>
      </c>
      <c r="AY103" s="73">
        <f t="shared" si="451"/>
        <v>904318116.00800085</v>
      </c>
      <c r="AZ103" s="73">
        <f t="shared" si="451"/>
        <v>916020357.30200052</v>
      </c>
      <c r="BA103" s="73">
        <f t="shared" si="451"/>
        <v>927759882.50000107</v>
      </c>
      <c r="BB103" s="73">
        <f t="shared" si="451"/>
        <v>939536691.60200095</v>
      </c>
      <c r="BC103" s="73">
        <f t="shared" si="451"/>
        <v>951350784.60800064</v>
      </c>
      <c r="BD103" s="73">
        <f t="shared" si="451"/>
        <v>963202161.51800108</v>
      </c>
      <c r="BE103" s="73">
        <f t="shared" si="451"/>
        <v>975090822.33200085</v>
      </c>
      <c r="BF103" s="73">
        <f t="shared" si="451"/>
        <v>987016767.05000067</v>
      </c>
      <c r="BG103" s="73">
        <f t="shared" si="451"/>
        <v>998979995.67200112</v>
      </c>
      <c r="BH103" s="73">
        <f t="shared" si="451"/>
        <v>1010980508.1980009</v>
      </c>
      <c r="BI103" s="73"/>
    </row>
    <row r="104" spans="1:61" s="74" customFormat="1" x14ac:dyDescent="0.2">
      <c r="A104" s="74" t="s">
        <v>27</v>
      </c>
      <c r="B104" s="121"/>
      <c r="C104" s="75">
        <f>SUM(C18,C25,C35,C44,C56,C72,C93)</f>
        <v>12684794.662893724</v>
      </c>
      <c r="D104" s="75">
        <f t="shared" ref="D104:BH104" si="452">SUM(D18,D25,D35,D44,D56,D72,D93)</f>
        <v>33556614.662893727</v>
      </c>
      <c r="E104" s="75">
        <f t="shared" si="452"/>
        <v>28449289.719186317</v>
      </c>
      <c r="F104" s="75">
        <f t="shared" si="452"/>
        <v>214586502.03142962</v>
      </c>
      <c r="G104" s="75">
        <f t="shared" si="452"/>
        <v>210993296.07516199</v>
      </c>
      <c r="H104" s="75">
        <f t="shared" si="452"/>
        <v>163579463.34976849</v>
      </c>
      <c r="I104" s="75">
        <f t="shared" si="452"/>
        <v>177005040.71929413</v>
      </c>
      <c r="J104" s="75">
        <f t="shared" si="452"/>
        <v>195002852.43451008</v>
      </c>
      <c r="K104" s="75">
        <f t="shared" si="452"/>
        <v>186875143.33621082</v>
      </c>
      <c r="L104" s="75">
        <f t="shared" si="452"/>
        <v>71436710.670766965</v>
      </c>
      <c r="M104" s="75">
        <f t="shared" si="452"/>
        <v>70941499.40017511</v>
      </c>
      <c r="N104" s="75">
        <f t="shared" si="452"/>
        <v>70448667.632621825</v>
      </c>
      <c r="O104" s="75">
        <f t="shared" si="452"/>
        <v>69967849.073311135</v>
      </c>
      <c r="P104" s="75">
        <f t="shared" si="452"/>
        <v>69481564.718945548</v>
      </c>
      <c r="Q104" s="75">
        <f t="shared" si="452"/>
        <v>69003650.501342759</v>
      </c>
      <c r="R104" s="75">
        <f t="shared" si="452"/>
        <v>68524810.023410767</v>
      </c>
      <c r="S104" s="75">
        <f t="shared" si="452"/>
        <v>68075953.987928361</v>
      </c>
      <c r="T104" s="75">
        <f t="shared" si="452"/>
        <v>67627415.069703579</v>
      </c>
      <c r="U104" s="75">
        <f t="shared" si="452"/>
        <v>67198279.952541798</v>
      </c>
      <c r="V104" s="75">
        <f t="shared" si="452"/>
        <v>66778137.201854594</v>
      </c>
      <c r="W104" s="75">
        <f t="shared" si="452"/>
        <v>66384168.429340266</v>
      </c>
      <c r="X104" s="75">
        <f t="shared" si="452"/>
        <v>65992562.496504955</v>
      </c>
      <c r="Y104" s="75">
        <f t="shared" si="452"/>
        <v>65610351.128368534</v>
      </c>
      <c r="Z104" s="75">
        <f t="shared" si="452"/>
        <v>65065981.724611841</v>
      </c>
      <c r="AA104" s="75">
        <f t="shared" si="452"/>
        <v>64593223.730946772</v>
      </c>
      <c r="AB104" s="75">
        <f t="shared" si="452"/>
        <v>64158744.009840123</v>
      </c>
      <c r="AC104" s="75">
        <f t="shared" si="452"/>
        <v>63777110.527208753</v>
      </c>
      <c r="AD104" s="75">
        <f t="shared" si="452"/>
        <v>63429379.745743461</v>
      </c>
      <c r="AE104" s="75">
        <f t="shared" si="452"/>
        <v>63107889.861178905</v>
      </c>
      <c r="AF104" s="75">
        <f t="shared" si="452"/>
        <v>62826070.206410863</v>
      </c>
      <c r="AG104" s="75">
        <f t="shared" si="452"/>
        <v>62564730.627511427</v>
      </c>
      <c r="AH104" s="75">
        <f t="shared" si="452"/>
        <v>62326373.40166454</v>
      </c>
      <c r="AI104" s="75">
        <f t="shared" si="452"/>
        <v>62111961.748891309</v>
      </c>
      <c r="AJ104" s="75">
        <f t="shared" si="452"/>
        <v>61912597.976668023</v>
      </c>
      <c r="AK104" s="75">
        <f t="shared" si="452"/>
        <v>87305443.797097862</v>
      </c>
      <c r="AL104" s="75">
        <f t="shared" si="452"/>
        <v>178722298.89653969</v>
      </c>
      <c r="AM104" s="75">
        <f t="shared" si="452"/>
        <v>149813878.63866377</v>
      </c>
      <c r="AN104" s="75">
        <f t="shared" si="452"/>
        <v>142182555.62730074</v>
      </c>
      <c r="AO104" s="75">
        <f t="shared" si="452"/>
        <v>31920797.626438219</v>
      </c>
      <c r="AP104" s="75">
        <f t="shared" si="452"/>
        <v>31921220.839133594</v>
      </c>
      <c r="AQ104" s="75">
        <f t="shared" si="452"/>
        <v>31922630.211281192</v>
      </c>
      <c r="AR104" s="75">
        <f t="shared" si="452"/>
        <v>31924998.646330703</v>
      </c>
      <c r="AS104" s="75">
        <f t="shared" si="452"/>
        <v>31928301.97169346</v>
      </c>
      <c r="AT104" s="75">
        <f t="shared" si="452"/>
        <v>31932518.796235021</v>
      </c>
      <c r="AU104" s="75">
        <f t="shared" si="452"/>
        <v>31937630.337271456</v>
      </c>
      <c r="AV104" s="75">
        <f t="shared" si="452"/>
        <v>31941751.244482275</v>
      </c>
      <c r="AW104" s="75">
        <f t="shared" si="452"/>
        <v>31946779.266997375</v>
      </c>
      <c r="AX104" s="75">
        <f t="shared" si="452"/>
        <v>31952697.971945021</v>
      </c>
      <c r="AY104" s="75">
        <f t="shared" si="452"/>
        <v>31957603.86002947</v>
      </c>
      <c r="AZ104" s="75">
        <f t="shared" si="452"/>
        <v>31965489.33242587</v>
      </c>
      <c r="BA104" s="75">
        <f t="shared" si="452"/>
        <v>31974199.806677487</v>
      </c>
      <c r="BB104" s="75">
        <f t="shared" si="452"/>
        <v>31981790.381565738</v>
      </c>
      <c r="BC104" s="75">
        <f t="shared" si="452"/>
        <v>31981790.381565738</v>
      </c>
      <c r="BD104" s="75">
        <f t="shared" si="452"/>
        <v>31981790.381565738</v>
      </c>
      <c r="BE104" s="75">
        <f t="shared" si="452"/>
        <v>31981790.381565738</v>
      </c>
      <c r="BF104" s="75">
        <f t="shared" si="452"/>
        <v>31981790.381565738</v>
      </c>
      <c r="BG104" s="75">
        <f t="shared" si="452"/>
        <v>31981790.381565738</v>
      </c>
      <c r="BH104" s="75">
        <f t="shared" si="452"/>
        <v>0</v>
      </c>
      <c r="BI104" s="75"/>
    </row>
    <row r="105" spans="1:61" s="74" customFormat="1" x14ac:dyDescent="0.2">
      <c r="A105" s="74" t="s">
        <v>512</v>
      </c>
      <c r="B105" s="121">
        <v>0.02</v>
      </c>
      <c r="C105" s="121">
        <f xml:space="preserve"> 1 + B105</f>
        <v>1.02</v>
      </c>
      <c r="D105" s="121">
        <f xml:space="preserve"> (1 + $B105) * C105</f>
        <v>1.0404</v>
      </c>
      <c r="E105" s="121">
        <f xml:space="preserve"> (1 + $B105) * D105</f>
        <v>1.0612079999999999</v>
      </c>
      <c r="F105" s="121">
        <f xml:space="preserve"> (1 + $B105) * E105</f>
        <v>1.08243216</v>
      </c>
      <c r="G105" s="121">
        <f t="shared" ref="G105:AO105" si="453" xml:space="preserve"> (1 + $B105) * F105</f>
        <v>1.1040808032</v>
      </c>
      <c r="H105" s="121">
        <f t="shared" si="453"/>
        <v>1.1261624192640001</v>
      </c>
      <c r="I105" s="121">
        <f t="shared" si="453"/>
        <v>1.14868566764928</v>
      </c>
      <c r="J105" s="121">
        <f t="shared" si="453"/>
        <v>1.1716593810022657</v>
      </c>
      <c r="K105" s="121">
        <f t="shared" si="453"/>
        <v>1.1950925686223111</v>
      </c>
      <c r="L105" s="121">
        <f t="shared" si="453"/>
        <v>1.2189944199947573</v>
      </c>
      <c r="M105" s="121">
        <f t="shared" si="453"/>
        <v>1.2433743083946525</v>
      </c>
      <c r="N105" s="121">
        <f t="shared" si="453"/>
        <v>1.2682417945625455</v>
      </c>
      <c r="O105" s="121">
        <f t="shared" si="453"/>
        <v>1.2936066304537963</v>
      </c>
      <c r="P105" s="121">
        <f t="shared" si="453"/>
        <v>1.3194787630628724</v>
      </c>
      <c r="Q105" s="121">
        <f t="shared" si="453"/>
        <v>1.3458683383241299</v>
      </c>
      <c r="R105" s="121">
        <f t="shared" si="453"/>
        <v>1.3727857050906125</v>
      </c>
      <c r="S105" s="121">
        <f t="shared" si="453"/>
        <v>1.4002414191924248</v>
      </c>
      <c r="T105" s="121">
        <f t="shared" si="453"/>
        <v>1.4282462475762734</v>
      </c>
      <c r="U105" s="121">
        <f t="shared" si="453"/>
        <v>1.4568111725277988</v>
      </c>
      <c r="V105" s="121">
        <f t="shared" si="453"/>
        <v>1.4859473959783549</v>
      </c>
      <c r="W105" s="121">
        <f t="shared" si="453"/>
        <v>1.5156663438979221</v>
      </c>
      <c r="X105" s="121">
        <f t="shared" si="453"/>
        <v>1.5459796707758806</v>
      </c>
      <c r="Y105" s="121">
        <f t="shared" si="453"/>
        <v>1.5768992641913981</v>
      </c>
      <c r="Z105" s="121">
        <f t="shared" si="453"/>
        <v>1.6084372494752261</v>
      </c>
      <c r="AA105" s="121">
        <f t="shared" si="453"/>
        <v>1.6406059944647307</v>
      </c>
      <c r="AB105" s="121">
        <f t="shared" si="453"/>
        <v>1.6734181143540252</v>
      </c>
      <c r="AC105" s="121">
        <f t="shared" si="453"/>
        <v>1.7068864766411058</v>
      </c>
      <c r="AD105" s="121">
        <f t="shared" si="453"/>
        <v>1.7410242061739281</v>
      </c>
      <c r="AE105" s="121">
        <f t="shared" si="453"/>
        <v>1.7758446902974065</v>
      </c>
      <c r="AF105" s="121">
        <f t="shared" si="453"/>
        <v>1.8113615841033548</v>
      </c>
      <c r="AG105" s="121">
        <f t="shared" si="453"/>
        <v>1.8475888157854219</v>
      </c>
      <c r="AH105" s="121">
        <f t="shared" si="453"/>
        <v>1.8845405921011305</v>
      </c>
      <c r="AI105" s="121">
        <f t="shared" si="453"/>
        <v>1.9222314039431532</v>
      </c>
      <c r="AJ105" s="121">
        <f t="shared" si="453"/>
        <v>1.9606760320220162</v>
      </c>
      <c r="AK105" s="121">
        <f t="shared" si="453"/>
        <v>1.9998895526624565</v>
      </c>
      <c r="AL105" s="121">
        <f t="shared" si="453"/>
        <v>2.0398873437157055</v>
      </c>
      <c r="AM105" s="121">
        <f t="shared" si="453"/>
        <v>2.0806850905900198</v>
      </c>
      <c r="AN105" s="121">
        <f t="shared" si="453"/>
        <v>2.1222987924018204</v>
      </c>
      <c r="AO105" s="121">
        <f t="shared" si="453"/>
        <v>2.1647447682498568</v>
      </c>
      <c r="AP105" s="121">
        <f t="shared" ref="AP105" si="454" xml:space="preserve"> (1 + $B105) * AO105</f>
        <v>2.208039663614854</v>
      </c>
      <c r="AQ105" s="121">
        <f t="shared" ref="AQ105" si="455" xml:space="preserve"> (1 + $B105) * AP105</f>
        <v>2.252200456887151</v>
      </c>
      <c r="AR105" s="121">
        <f t="shared" ref="AR105" si="456" xml:space="preserve"> (1 + $B105) * AQ105</f>
        <v>2.2972444660248938</v>
      </c>
      <c r="AS105" s="121">
        <f t="shared" ref="AS105" si="457" xml:space="preserve"> (1 + $B105) * AR105</f>
        <v>2.343189355345392</v>
      </c>
      <c r="AT105" s="121">
        <f t="shared" ref="AT105" si="458" xml:space="preserve"> (1 + $B105) * AS105</f>
        <v>2.3900531424522997</v>
      </c>
      <c r="AU105" s="121">
        <f t="shared" ref="AU105" si="459" xml:space="preserve"> (1 + $B105) * AT105</f>
        <v>2.4378542053013459</v>
      </c>
      <c r="AV105" s="121">
        <f t="shared" ref="AV105" si="460" xml:space="preserve"> (1 + $B105) * AU105</f>
        <v>2.4866112894073726</v>
      </c>
      <c r="AW105" s="121">
        <f t="shared" ref="AW105" si="461" xml:space="preserve"> (1 + $B105) * AV105</f>
        <v>2.53634351519552</v>
      </c>
      <c r="AX105" s="121">
        <f t="shared" ref="AX105" si="462" xml:space="preserve"> (1 + $B105) * AW105</f>
        <v>2.5870703854994304</v>
      </c>
      <c r="AY105" s="121">
        <f t="shared" ref="AY105" si="463" xml:space="preserve"> (1 + $B105) * AX105</f>
        <v>2.6388117932094191</v>
      </c>
      <c r="AZ105" s="121">
        <f t="shared" ref="AZ105" si="464" xml:space="preserve"> (1 + $B105) * AY105</f>
        <v>2.6915880290736074</v>
      </c>
      <c r="BA105" s="121">
        <f t="shared" ref="BA105" si="465" xml:space="preserve"> (1 + $B105) * AZ105</f>
        <v>2.7454197896550796</v>
      </c>
      <c r="BB105" s="121">
        <f t="shared" ref="BB105" si="466" xml:space="preserve"> (1 + $B105) * BA105</f>
        <v>2.8003281854481812</v>
      </c>
      <c r="BC105" s="121">
        <f t="shared" ref="BC105" si="467" xml:space="preserve"> (1 + $B105) * BB105</f>
        <v>2.8563347491571447</v>
      </c>
      <c r="BD105" s="121">
        <f t="shared" ref="BD105" si="468" xml:space="preserve"> (1 + $B105) * BC105</f>
        <v>2.9134614441402875</v>
      </c>
      <c r="BE105" s="121">
        <f t="shared" ref="BE105" si="469" xml:space="preserve"> (1 + $B105) * BD105</f>
        <v>2.9717306730230932</v>
      </c>
      <c r="BF105" s="121">
        <f t="shared" ref="BF105" si="470" xml:space="preserve"> (1 + $B105) * BE105</f>
        <v>3.0311652864835552</v>
      </c>
      <c r="BG105" s="121">
        <f t="shared" ref="BG105:BH105" si="471" xml:space="preserve"> (1 + $B105) * BF105</f>
        <v>3.0917885922132262</v>
      </c>
      <c r="BH105" s="121">
        <f t="shared" si="471"/>
        <v>3.1536243640574906</v>
      </c>
      <c r="BI105" s="75"/>
    </row>
    <row r="106" spans="1:61" s="74" customFormat="1" x14ac:dyDescent="0.2">
      <c r="A106" s="74" t="s">
        <v>513</v>
      </c>
      <c r="B106" s="121"/>
      <c r="C106" s="75">
        <f xml:space="preserve"> C104 * C105</f>
        <v>12938490.556151599</v>
      </c>
      <c r="D106" s="75">
        <f xml:space="preserve"> D104 * D105</f>
        <v>34912301.895274632</v>
      </c>
      <c r="E106" s="75">
        <f t="shared" ref="E106:AM106" si="472" xml:space="preserve"> E104 * E105</f>
        <v>30190613.844318271</v>
      </c>
      <c r="F106" s="75">
        <f t="shared" si="472"/>
        <v>232275330.90072474</v>
      </c>
      <c r="G106" s="75">
        <f t="shared" si="472"/>
        <v>232953647.80048028</v>
      </c>
      <c r="H106" s="75">
        <f t="shared" si="472"/>
        <v>184217044.18788213</v>
      </c>
      <c r="I106" s="75">
        <f t="shared" si="472"/>
        <v>203323153.37593037</v>
      </c>
      <c r="J106" s="75">
        <f t="shared" si="472"/>
        <v>228476921.37709424</v>
      </c>
      <c r="K106" s="75">
        <f t="shared" si="472"/>
        <v>223333095.06133473</v>
      </c>
      <c r="L106" s="75">
        <f t="shared" si="472"/>
        <v>87080951.690444872</v>
      </c>
      <c r="M106" s="75">
        <f t="shared" si="472"/>
        <v>88206837.753172383</v>
      </c>
      <c r="N106" s="75">
        <f t="shared" si="472"/>
        <v>89345944.662936613</v>
      </c>
      <c r="O106" s="75">
        <f t="shared" si="472"/>
        <v>90510873.479825795</v>
      </c>
      <c r="P106" s="75">
        <f t="shared" si="472"/>
        <v>91679449.071027189</v>
      </c>
      <c r="Q106" s="75">
        <f t="shared" si="472"/>
        <v>92869828.438541189</v>
      </c>
      <c r="R106" s="75">
        <f t="shared" si="472"/>
        <v>94069879.644188225</v>
      </c>
      <c r="S106" s="75">
        <f t="shared" si="472"/>
        <v>95322770.424935028</v>
      </c>
      <c r="T106" s="75">
        <f t="shared" si="472"/>
        <v>96588601.806587264</v>
      </c>
      <c r="U106" s="75">
        <f t="shared" si="472"/>
        <v>97895205.009513691</v>
      </c>
      <c r="V106" s="75">
        <f t="shared" si="472"/>
        <v>99228799.083381146</v>
      </c>
      <c r="W106" s="75">
        <f t="shared" si="472"/>
        <v>100616249.85600203</v>
      </c>
      <c r="X106" s="75">
        <f t="shared" si="472"/>
        <v>102023160.04200345</v>
      </c>
      <c r="Y106" s="75">
        <f t="shared" si="472"/>
        <v>103460914.4176636</v>
      </c>
      <c r="Z106" s="75">
        <f t="shared" si="472"/>
        <v>104654548.67954001</v>
      </c>
      <c r="AA106" s="75">
        <f t="shared" si="472"/>
        <v>105972030.05479276</v>
      </c>
      <c r="AB106" s="75">
        <f t="shared" si="472"/>
        <v>107364404.42026927</v>
      </c>
      <c r="AC106" s="75">
        <f t="shared" si="472"/>
        <v>108860287.47813773</v>
      </c>
      <c r="AD106" s="75">
        <f t="shared" si="472"/>
        <v>110432085.51993763</v>
      </c>
      <c r="AE106" s="75">
        <f t="shared" si="472"/>
        <v>112069811.1258481</v>
      </c>
      <c r="AF106" s="75">
        <f t="shared" si="472"/>
        <v>113800730.05207296</v>
      </c>
      <c r="AG106" s="75">
        <f t="shared" si="472"/>
        <v>115593896.57001776</v>
      </c>
      <c r="AH106" s="75">
        <f t="shared" si="472"/>
        <v>117456580.63388903</v>
      </c>
      <c r="AI106" s="75">
        <f t="shared" si="472"/>
        <v>119393563.43423477</v>
      </c>
      <c r="AJ106" s="75">
        <f t="shared" si="472"/>
        <v>121390546.93306777</v>
      </c>
      <c r="AK106" s="75">
        <f t="shared" si="472"/>
        <v>174601244.94037527</v>
      </c>
      <c r="AL106" s="75">
        <f t="shared" si="472"/>
        <v>364573355.55882668</v>
      </c>
      <c r="AM106" s="75">
        <f t="shared" si="472"/>
        <v>311715503.64693034</v>
      </c>
      <c r="AN106" s="75">
        <f t="shared" ref="AN106:AP106" si="473" xml:space="preserve"> AN104 * AN105</f>
        <v>301753866.10842502</v>
      </c>
      <c r="AO106" s="75">
        <f t="shared" si="473"/>
        <v>69100379.660194576</v>
      </c>
      <c r="AP106" s="75">
        <f t="shared" si="473"/>
        <v>70483321.723816007</v>
      </c>
      <c r="AQ106" s="75">
        <f t="shared" ref="AQ106:AS106" si="474" xml:space="preserve"> AQ104 * AQ105</f>
        <v>71896162.346887067</v>
      </c>
      <c r="AR106" s="75">
        <f t="shared" si="474"/>
        <v>73339526.468135431</v>
      </c>
      <c r="AS106" s="75">
        <f t="shared" si="474"/>
        <v>74814057.314325407</v>
      </c>
      <c r="AT106" s="75">
        <f t="shared" ref="AT106:AY106" si="475" xml:space="preserve"> AT104 * AT105</f>
        <v>76320416.895358637</v>
      </c>
      <c r="AU106" s="75">
        <f t="shared" si="475"/>
        <v>77859286.425077066</v>
      </c>
      <c r="AV106" s="75">
        <f t="shared" si="475"/>
        <v>79426719.247971624</v>
      </c>
      <c r="AW106" s="75">
        <f t="shared" si="475"/>
        <v>81028006.425231487</v>
      </c>
      <c r="AX106" s="75">
        <f t="shared" si="475"/>
        <v>82663878.66002667</v>
      </c>
      <c r="AY106" s="75">
        <f t="shared" si="475"/>
        <v>84330101.948560625</v>
      </c>
      <c r="AZ106" s="75">
        <f t="shared" ref="AZ106:BE106" si="476" xml:space="preserve"> AZ104 * AZ105</f>
        <v>86037928.430637568</v>
      </c>
      <c r="BA106" s="75">
        <f t="shared" si="476"/>
        <v>87782600.907637998</v>
      </c>
      <c r="BB106" s="75">
        <f t="shared" si="476"/>
        <v>89559509.026594073</v>
      </c>
      <c r="BC106" s="75">
        <f t="shared" si="476"/>
        <v>91350699.207125962</v>
      </c>
      <c r="BD106" s="75">
        <f t="shared" si="476"/>
        <v>93177713.191268474</v>
      </c>
      <c r="BE106" s="75">
        <f t="shared" si="476"/>
        <v>95041267.455093846</v>
      </c>
      <c r="BF106" s="75">
        <f t="shared" ref="BF106:BG106" si="477" xml:space="preserve"> BF104 * BF105</f>
        <v>96942092.804195717</v>
      </c>
      <c r="BG106" s="75">
        <f t="shared" si="477"/>
        <v>98880934.660279632</v>
      </c>
      <c r="BH106" s="75">
        <f t="shared" ref="BH106" si="478" xml:space="preserve"> BH104 * BH105</f>
        <v>0</v>
      </c>
      <c r="BI106" s="75"/>
    </row>
    <row r="107" spans="1:61" s="79" customFormat="1" x14ac:dyDescent="0.2">
      <c r="B107" s="125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</row>
    <row r="108" spans="1:61" s="74" customFormat="1" x14ac:dyDescent="0.2">
      <c r="A108" s="74" t="s">
        <v>28</v>
      </c>
      <c r="B108" s="121"/>
      <c r="C108" s="75">
        <f>SUM(C7,C19:C20,C26,C36:C37,C45:C46,C57:C58,C73,C94)</f>
        <v>2371160</v>
      </c>
      <c r="D108" s="75">
        <f t="shared" ref="D108:BH108" si="479">SUM(D7,D19:D20,D26,D36:D37,D45:D46,D57:D58,D73,D94)</f>
        <v>2371160</v>
      </c>
      <c r="E108" s="75">
        <f t="shared" si="479"/>
        <v>25375788.904494669</v>
      </c>
      <c r="F108" s="75">
        <f t="shared" si="479"/>
        <v>25379702.169163842</v>
      </c>
      <c r="G108" s="75">
        <f t="shared" si="479"/>
        <v>104476135.89976025</v>
      </c>
      <c r="H108" s="75">
        <f t="shared" si="479"/>
        <v>153267018.87772053</v>
      </c>
      <c r="I108" s="75">
        <f t="shared" si="479"/>
        <v>172256619.50153095</v>
      </c>
      <c r="J108" s="75">
        <f t="shared" si="479"/>
        <v>192871225.3201094</v>
      </c>
      <c r="K108" s="75">
        <f t="shared" si="479"/>
        <v>213456253.10316023</v>
      </c>
      <c r="L108" s="75">
        <f t="shared" si="479"/>
        <v>233996882.5752261</v>
      </c>
      <c r="M108" s="75">
        <f t="shared" si="479"/>
        <v>233895789.36923638</v>
      </c>
      <c r="N108" s="75">
        <f t="shared" si="479"/>
        <v>233790593.51216477</v>
      </c>
      <c r="O108" s="75">
        <f t="shared" si="479"/>
        <v>233685903.12392312</v>
      </c>
      <c r="P108" s="75">
        <f t="shared" si="479"/>
        <v>233583764.65606844</v>
      </c>
      <c r="Q108" s="75">
        <f t="shared" si="479"/>
        <v>233480465.11004463</v>
      </c>
      <c r="R108" s="75">
        <f t="shared" si="479"/>
        <v>233378943.60051328</v>
      </c>
      <c r="S108" s="75">
        <f t="shared" si="479"/>
        <v>233277225.32900372</v>
      </c>
      <c r="T108" s="75">
        <f t="shared" si="479"/>
        <v>233181876.5391874</v>
      </c>
      <c r="U108" s="75">
        <f t="shared" si="479"/>
        <v>233086595.11339062</v>
      </c>
      <c r="V108" s="75">
        <f t="shared" si="479"/>
        <v>232995435.56365862</v>
      </c>
      <c r="W108" s="75">
        <f t="shared" si="479"/>
        <v>232906186.2283231</v>
      </c>
      <c r="X108" s="75">
        <f t="shared" si="479"/>
        <v>232822496.93216765</v>
      </c>
      <c r="Y108" s="75">
        <f t="shared" si="479"/>
        <v>232739309.5651077</v>
      </c>
      <c r="Z108" s="75">
        <f t="shared" si="479"/>
        <v>232658117.84989175</v>
      </c>
      <c r="AA108" s="75">
        <f t="shared" si="479"/>
        <v>232542479.5165329</v>
      </c>
      <c r="AB108" s="75">
        <f t="shared" si="479"/>
        <v>232442053.32414916</v>
      </c>
      <c r="AC108" s="75">
        <f t="shared" si="479"/>
        <v>232349758.44041714</v>
      </c>
      <c r="AD108" s="75">
        <f t="shared" si="479"/>
        <v>232279893.64742702</v>
      </c>
      <c r="AE108" s="75">
        <f t="shared" si="479"/>
        <v>232260820.10926163</v>
      </c>
      <c r="AF108" s="75">
        <f t="shared" si="479"/>
        <v>232243371.85868487</v>
      </c>
      <c r="AG108" s="75">
        <f t="shared" si="479"/>
        <v>232228380.67092764</v>
      </c>
      <c r="AH108" s="75">
        <f t="shared" si="479"/>
        <v>232214657.96165454</v>
      </c>
      <c r="AI108" s="75">
        <f t="shared" si="479"/>
        <v>232202358.7148993</v>
      </c>
      <c r="AJ108" s="75">
        <f t="shared" si="479"/>
        <v>232191542.58980969</v>
      </c>
      <c r="AK108" s="75">
        <f t="shared" si="479"/>
        <v>232181658.48825517</v>
      </c>
      <c r="AL108" s="75">
        <f t="shared" si="479"/>
        <v>232172641.77392349</v>
      </c>
      <c r="AM108" s="75">
        <f t="shared" si="479"/>
        <v>212063178.6656065</v>
      </c>
      <c r="AN108" s="75">
        <f t="shared" si="479"/>
        <v>178969373.58576337</v>
      </c>
      <c r="AO108" s="75">
        <f t="shared" si="479"/>
        <v>141549906.28909376</v>
      </c>
      <c r="AP108" s="75">
        <f t="shared" si="479"/>
        <v>141552333.48057577</v>
      </c>
      <c r="AQ108" s="75">
        <f t="shared" si="479"/>
        <v>141554823.62477148</v>
      </c>
      <c r="AR108" s="75">
        <f t="shared" si="479"/>
        <v>141557374.848919</v>
      </c>
      <c r="AS108" s="75">
        <f t="shared" si="479"/>
        <v>141559985.47473392</v>
      </c>
      <c r="AT108" s="75">
        <f t="shared" si="479"/>
        <v>141562654.00503394</v>
      </c>
      <c r="AU108" s="75">
        <f t="shared" si="479"/>
        <v>141565379.11491212</v>
      </c>
      <c r="AV108" s="75">
        <f t="shared" si="479"/>
        <v>141568159.64102173</v>
      </c>
      <c r="AW108" s="75">
        <f t="shared" si="479"/>
        <v>141570878.81004936</v>
      </c>
      <c r="AX108" s="75">
        <f t="shared" si="479"/>
        <v>141573654.16325587</v>
      </c>
      <c r="AY108" s="75">
        <f t="shared" si="479"/>
        <v>141576484.68283528</v>
      </c>
      <c r="AZ108" s="75">
        <f t="shared" si="479"/>
        <v>141579252.47137752</v>
      </c>
      <c r="BA108" s="75">
        <f t="shared" si="479"/>
        <v>141582204.80701891</v>
      </c>
      <c r="BB108" s="75">
        <f t="shared" si="479"/>
        <v>141585208.24096239</v>
      </c>
      <c r="BC108" s="75">
        <f t="shared" si="479"/>
        <v>141588142.31147885</v>
      </c>
      <c r="BD108" s="75">
        <f t="shared" si="479"/>
        <v>141590606.24306667</v>
      </c>
      <c r="BE108" s="75">
        <f t="shared" si="479"/>
        <v>141593070.17465448</v>
      </c>
      <c r="BF108" s="75">
        <f t="shared" si="479"/>
        <v>141595534.1062423</v>
      </c>
      <c r="BG108" s="75">
        <f t="shared" si="479"/>
        <v>141597998.03783008</v>
      </c>
      <c r="BH108" s="75">
        <f t="shared" si="479"/>
        <v>141600461.96941787</v>
      </c>
      <c r="BI108" s="75"/>
    </row>
    <row r="109" spans="1:61" hidden="1" x14ac:dyDescent="0.2">
      <c r="A109" t="s">
        <v>463</v>
      </c>
      <c r="B109" s="31"/>
      <c r="C109" s="10">
        <f t="shared" ref="C109:AM109" si="480">C103-C108</f>
        <v>-2371160</v>
      </c>
      <c r="D109" s="10">
        <f t="shared" si="480"/>
        <v>-2371160</v>
      </c>
      <c r="E109" s="10">
        <f t="shared" si="480"/>
        <v>158641702.80350542</v>
      </c>
      <c r="F109" s="10">
        <f t="shared" si="480"/>
        <v>164099883.74883616</v>
      </c>
      <c r="G109" s="10">
        <f t="shared" si="480"/>
        <v>341133728.1322397</v>
      </c>
      <c r="H109" s="10">
        <f t="shared" si="480"/>
        <v>420720029.04727954</v>
      </c>
      <c r="I109" s="10">
        <f t="shared" si="480"/>
        <v>414469096.22046894</v>
      </c>
      <c r="J109" s="10">
        <f t="shared" si="480"/>
        <v>406630442.10289049</v>
      </c>
      <c r="K109" s="10">
        <f t="shared" si="480"/>
        <v>398858649.92483974</v>
      </c>
      <c r="L109" s="10">
        <f t="shared" si="480"/>
        <v>391168539.96177375</v>
      </c>
      <c r="M109" s="10">
        <f t="shared" si="480"/>
        <v>404157436.58076334</v>
      </c>
      <c r="N109" s="10">
        <f t="shared" si="480"/>
        <v>417187719.75483519</v>
      </c>
      <c r="O109" s="10">
        <f t="shared" si="480"/>
        <v>430254781.36407667</v>
      </c>
      <c r="P109" s="10">
        <f t="shared" si="480"/>
        <v>443356574.95693123</v>
      </c>
      <c r="Q109" s="10">
        <f t="shared" si="480"/>
        <v>456496813.53195536</v>
      </c>
      <c r="R109" s="10">
        <f t="shared" si="480"/>
        <v>469672557.97448653</v>
      </c>
      <c r="S109" s="10">
        <f t="shared" si="480"/>
        <v>482885783.08299649</v>
      </c>
      <c r="T109" s="10">
        <f t="shared" si="480"/>
        <v>496129922.61381269</v>
      </c>
      <c r="U109" s="10">
        <f t="shared" si="480"/>
        <v>509411278.68460935</v>
      </c>
      <c r="V109" s="10">
        <f t="shared" si="480"/>
        <v>522725796.78334177</v>
      </c>
      <c r="W109" s="10">
        <f t="shared" si="480"/>
        <v>536075688.57167709</v>
      </c>
      <c r="X109" s="10">
        <f t="shared" si="480"/>
        <v>549457304.22483242</v>
      </c>
      <c r="Y109" s="10">
        <f t="shared" si="480"/>
        <v>562875701.85289264</v>
      </c>
      <c r="Z109" s="10">
        <f t="shared" si="480"/>
        <v>576329387.73310852</v>
      </c>
      <c r="AA109" s="10">
        <f t="shared" si="480"/>
        <v>589854804.13546717</v>
      </c>
      <c r="AB109" s="10">
        <f t="shared" si="480"/>
        <v>603402292.30085123</v>
      </c>
      <c r="AC109" s="10">
        <f t="shared" si="480"/>
        <v>616978933.06158316</v>
      </c>
      <c r="AD109" s="10">
        <f t="shared" si="480"/>
        <v>630570427.63557315</v>
      </c>
      <c r="AE109" s="10">
        <f t="shared" si="480"/>
        <v>644148414.85873902</v>
      </c>
      <c r="AF109" s="10">
        <f t="shared" si="480"/>
        <v>657762060.6983155</v>
      </c>
      <c r="AG109" s="10">
        <f t="shared" si="480"/>
        <v>671410533.37907255</v>
      </c>
      <c r="AH109" s="10">
        <f t="shared" si="480"/>
        <v>685095021.4853462</v>
      </c>
      <c r="AI109" s="10">
        <f t="shared" si="480"/>
        <v>698815370.0331012</v>
      </c>
      <c r="AJ109" s="10">
        <f t="shared" si="480"/>
        <v>712571519.36319113</v>
      </c>
      <c r="AK109" s="10">
        <f t="shared" si="480"/>
        <v>726364020.57374561</v>
      </c>
      <c r="AL109" s="10">
        <f t="shared" si="480"/>
        <v>740192938.30107701</v>
      </c>
      <c r="AM109" s="10">
        <f t="shared" si="480"/>
        <v>774159586.32639444</v>
      </c>
      <c r="AN109" s="10">
        <f t="shared" ref="AN109:AP109" si="481">AN103-AN108</f>
        <v>725977988.35223746</v>
      </c>
      <c r="AO109" s="10">
        <f t="shared" si="481"/>
        <v>647796411.49890661</v>
      </c>
      <c r="AP109" s="10">
        <f t="shared" si="481"/>
        <v>659123386.56142497</v>
      </c>
      <c r="AQ109" s="10">
        <f t="shared" ref="AQ109:AS109" si="482">AQ103-AQ108</f>
        <v>670487582.57522905</v>
      </c>
      <c r="AR109" s="10">
        <f t="shared" si="482"/>
        <v>681889001.41308129</v>
      </c>
      <c r="AS109" s="10">
        <f t="shared" si="482"/>
        <v>693327644.75326681</v>
      </c>
      <c r="AT109" s="10">
        <f t="shared" ref="AT109:AY109" si="483">AT103-AT108</f>
        <v>704803514.09296656</v>
      </c>
      <c r="AU109" s="10">
        <f t="shared" si="483"/>
        <v>716316610.7570883</v>
      </c>
      <c r="AV109" s="10">
        <f t="shared" si="483"/>
        <v>727866935.90897918</v>
      </c>
      <c r="AW109" s="10">
        <f t="shared" si="483"/>
        <v>739454606.32195115</v>
      </c>
      <c r="AX109" s="10">
        <f t="shared" si="483"/>
        <v>751079504.45474458</v>
      </c>
      <c r="AY109" s="10">
        <f t="shared" si="483"/>
        <v>762741631.32516551</v>
      </c>
      <c r="AZ109" s="10">
        <f t="shared" ref="AZ109:BE109" si="484">AZ103-AZ108</f>
        <v>774441104.83062303</v>
      </c>
      <c r="BA109" s="10">
        <f t="shared" si="484"/>
        <v>786177677.6929822</v>
      </c>
      <c r="BB109" s="10">
        <f t="shared" si="484"/>
        <v>797951483.36103857</v>
      </c>
      <c r="BC109" s="10">
        <f t="shared" si="484"/>
        <v>809762642.29652178</v>
      </c>
      <c r="BD109" s="10">
        <f t="shared" si="484"/>
        <v>821611555.27493441</v>
      </c>
      <c r="BE109" s="10">
        <f t="shared" si="484"/>
        <v>833497752.15734637</v>
      </c>
      <c r="BF109" s="10">
        <f t="shared" ref="BF109:BG109" si="485">BF103-BF108</f>
        <v>845421232.94375837</v>
      </c>
      <c r="BG109" s="10">
        <f t="shared" si="485"/>
        <v>857381997.63417101</v>
      </c>
      <c r="BH109" s="10">
        <f t="shared" ref="BH109" si="486">BH103-BH108</f>
        <v>869380046.2285831</v>
      </c>
      <c r="BI109" s="10"/>
    </row>
    <row r="110" spans="1:61" hidden="1" x14ac:dyDescent="0.2">
      <c r="A110" t="s">
        <v>29</v>
      </c>
      <c r="B110" s="31"/>
      <c r="C110" s="10">
        <f>C109</f>
        <v>-2371160</v>
      </c>
      <c r="D110" s="10">
        <f>SUM($C109:D109)</f>
        <v>-4742320</v>
      </c>
      <c r="E110" s="10">
        <f>SUM($C109:E109)</f>
        <v>153899382.80350542</v>
      </c>
      <c r="F110" s="10">
        <f>SUM($C109:F109)</f>
        <v>317999266.55234158</v>
      </c>
      <c r="G110" s="10">
        <f>SUM($C109:G109)</f>
        <v>659132994.68458128</v>
      </c>
      <c r="H110" s="10">
        <f>SUM($C109:H109)</f>
        <v>1079853023.7318609</v>
      </c>
      <c r="I110" s="10">
        <f>SUM($C109:I109)</f>
        <v>1494322119.9523299</v>
      </c>
      <c r="J110" s="10">
        <f>SUM($C109:J109)</f>
        <v>1900952562.0552204</v>
      </c>
      <c r="K110" s="10">
        <f>SUM($C109:K109)</f>
        <v>2299811211.9800601</v>
      </c>
      <c r="L110" s="10">
        <f>SUM($C109:L109)</f>
        <v>2690979751.941834</v>
      </c>
      <c r="M110" s="10">
        <f>SUM($C109:M109)</f>
        <v>3095137188.5225973</v>
      </c>
      <c r="N110" s="10">
        <f>SUM($C109:N109)</f>
        <v>3512324908.2774324</v>
      </c>
      <c r="O110" s="10">
        <f>SUM($C109:O109)</f>
        <v>3942579689.6415091</v>
      </c>
      <c r="P110" s="10">
        <f>SUM($C109:P109)</f>
        <v>4385936264.5984402</v>
      </c>
      <c r="Q110" s="10">
        <f>SUM($C109:Q109)</f>
        <v>4842433078.1303959</v>
      </c>
      <c r="R110" s="10">
        <f>SUM($C109:R109)</f>
        <v>5312105636.1048822</v>
      </c>
      <c r="S110" s="10">
        <f>SUM($C109:S109)</f>
        <v>5794991419.1878786</v>
      </c>
      <c r="T110" s="10">
        <f>SUM($C109:T109)</f>
        <v>6291121341.8016911</v>
      </c>
      <c r="U110" s="10">
        <f>SUM($C109:U109)</f>
        <v>6800532620.4863005</v>
      </c>
      <c r="V110" s="10">
        <f>SUM($C109:V109)</f>
        <v>7323258417.2696419</v>
      </c>
      <c r="W110" s="10">
        <f>SUM($C109:W109)</f>
        <v>7859334105.8413191</v>
      </c>
      <c r="X110" s="10">
        <f>SUM($C109:X109)</f>
        <v>8408791410.0661516</v>
      </c>
      <c r="Y110" s="10">
        <f>SUM($C109:Y109)</f>
        <v>8971667111.9190445</v>
      </c>
      <c r="Z110" s="10">
        <f>SUM($C109:Z109)</f>
        <v>9547996499.652153</v>
      </c>
      <c r="AA110" s="10">
        <f>SUM($C109:AA109)</f>
        <v>10137851303.787621</v>
      </c>
      <c r="AB110" s="10">
        <f>SUM($C109:AB109)</f>
        <v>10741253596.088472</v>
      </c>
      <c r="AC110" s="10">
        <f>SUM($C109:AC109)</f>
        <v>11358232529.150055</v>
      </c>
      <c r="AD110" s="10">
        <f>SUM($C109:AD109)</f>
        <v>11988802956.785627</v>
      </c>
      <c r="AE110" s="10">
        <f>SUM($C109:AE109)</f>
        <v>12632951371.644367</v>
      </c>
      <c r="AF110" s="10">
        <f>SUM($C109:AF109)</f>
        <v>13290713432.342682</v>
      </c>
      <c r="AG110" s="10">
        <f>SUM($C109:AG109)</f>
        <v>13962123965.721754</v>
      </c>
      <c r="AH110" s="10">
        <f>SUM($C109:AH109)</f>
        <v>14647218987.2071</v>
      </c>
      <c r="AI110" s="10">
        <f>SUM($C109:AI109)</f>
        <v>15346034357.240202</v>
      </c>
      <c r="AJ110" s="10">
        <f>SUM($C109:AJ109)</f>
        <v>16058605876.603394</v>
      </c>
      <c r="AK110" s="10">
        <f>SUM($C109:AK109)</f>
        <v>16784969897.177139</v>
      </c>
      <c r="AL110" s="10">
        <f>SUM($C109:AL109)</f>
        <v>17525162835.478218</v>
      </c>
      <c r="AM110" s="10">
        <f>SUM($C109:AM109)</f>
        <v>18299322421.804611</v>
      </c>
      <c r="AN110" s="10">
        <f>SUM($C109:AN109)</f>
        <v>19025300410.156849</v>
      </c>
      <c r="AO110" s="10">
        <f>SUM($C109:AO109)</f>
        <v>19673096821.655754</v>
      </c>
      <c r="AP110" s="10">
        <f>SUM($C109:AP109)</f>
        <v>20332220208.217178</v>
      </c>
      <c r="AQ110" s="10">
        <f>SUM($C109:AQ109)</f>
        <v>21002707790.792408</v>
      </c>
      <c r="AR110" s="10">
        <f>SUM($C109:AR109)</f>
        <v>21684596792.20549</v>
      </c>
      <c r="AS110" s="10">
        <f>SUM($C109:AS109)</f>
        <v>22377924436.958755</v>
      </c>
      <c r="AT110" s="10">
        <f>SUM($C109:AT109)</f>
        <v>23082727951.051723</v>
      </c>
      <c r="AU110" s="10">
        <f>SUM($C109:AU109)</f>
        <v>23799044561.808811</v>
      </c>
      <c r="AV110" s="10">
        <f>SUM($C109:AV109)</f>
        <v>24526911497.717789</v>
      </c>
      <c r="AW110" s="10">
        <f>SUM($C109:AW109)</f>
        <v>25266366104.039742</v>
      </c>
      <c r="AX110" s="10">
        <f>SUM($C109:AX109)</f>
        <v>26017445608.494488</v>
      </c>
      <c r="AY110" s="10">
        <f>SUM($C109:AY109)</f>
        <v>26780187239.819653</v>
      </c>
      <c r="AZ110" s="10">
        <f>SUM($C109:AZ109)</f>
        <v>27554628344.650276</v>
      </c>
      <c r="BA110" s="10">
        <f>SUM($C109:BA109)</f>
        <v>28340806022.343258</v>
      </c>
      <c r="BB110" s="10">
        <f>SUM($C109:BB109)</f>
        <v>29138757505.704296</v>
      </c>
      <c r="BC110" s="10">
        <f>SUM($C109:BC109)</f>
        <v>29948520148.000816</v>
      </c>
      <c r="BD110" s="10">
        <f>SUM($C109:BD109)</f>
        <v>30770131703.275749</v>
      </c>
      <c r="BE110" s="10">
        <f>SUM($C109:BE109)</f>
        <v>31603629455.433094</v>
      </c>
      <c r="BF110" s="10">
        <f>SUM($C109:BF109)</f>
        <v>32449050688.376854</v>
      </c>
      <c r="BG110" s="10">
        <f>SUM($C109:BG109)</f>
        <v>33306432686.011024</v>
      </c>
      <c r="BH110" s="10">
        <f>SUM($C109:BH109)</f>
        <v>34175812732.239609</v>
      </c>
      <c r="BI110" s="10"/>
    </row>
    <row r="111" spans="1:61" hidden="1" x14ac:dyDescent="0.2">
      <c r="A111" s="6" t="s">
        <v>30</v>
      </c>
      <c r="B111" s="126"/>
      <c r="C111" s="10">
        <f t="shared" ref="C111:AM111" si="487">IF(C103-C108&gt;0,C103-C108,0)</f>
        <v>0</v>
      </c>
      <c r="D111" s="10">
        <f t="shared" si="487"/>
        <v>0</v>
      </c>
      <c r="E111" s="10">
        <f t="shared" si="487"/>
        <v>158641702.80350542</v>
      </c>
      <c r="F111" s="10">
        <f t="shared" si="487"/>
        <v>164099883.74883616</v>
      </c>
      <c r="G111" s="10">
        <f t="shared" si="487"/>
        <v>341133728.1322397</v>
      </c>
      <c r="H111" s="10">
        <f t="shared" si="487"/>
        <v>420720029.04727954</v>
      </c>
      <c r="I111" s="10">
        <f t="shared" si="487"/>
        <v>414469096.22046894</v>
      </c>
      <c r="J111" s="10">
        <f t="shared" si="487"/>
        <v>406630442.10289049</v>
      </c>
      <c r="K111" s="10">
        <f t="shared" si="487"/>
        <v>398858649.92483974</v>
      </c>
      <c r="L111" s="10">
        <f t="shared" si="487"/>
        <v>391168539.96177375</v>
      </c>
      <c r="M111" s="10">
        <f t="shared" si="487"/>
        <v>404157436.58076334</v>
      </c>
      <c r="N111" s="10">
        <f t="shared" si="487"/>
        <v>417187719.75483519</v>
      </c>
      <c r="O111" s="10">
        <f t="shared" si="487"/>
        <v>430254781.36407667</v>
      </c>
      <c r="P111" s="10">
        <f t="shared" si="487"/>
        <v>443356574.95693123</v>
      </c>
      <c r="Q111" s="10">
        <f t="shared" si="487"/>
        <v>456496813.53195536</v>
      </c>
      <c r="R111" s="10">
        <f t="shared" si="487"/>
        <v>469672557.97448653</v>
      </c>
      <c r="S111" s="10">
        <f t="shared" si="487"/>
        <v>482885783.08299649</v>
      </c>
      <c r="T111" s="10">
        <f t="shared" si="487"/>
        <v>496129922.61381269</v>
      </c>
      <c r="U111" s="10">
        <f t="shared" si="487"/>
        <v>509411278.68460935</v>
      </c>
      <c r="V111" s="10">
        <f t="shared" si="487"/>
        <v>522725796.78334177</v>
      </c>
      <c r="W111" s="10">
        <f t="shared" si="487"/>
        <v>536075688.57167709</v>
      </c>
      <c r="X111" s="10">
        <f t="shared" si="487"/>
        <v>549457304.22483242</v>
      </c>
      <c r="Y111" s="10">
        <f t="shared" si="487"/>
        <v>562875701.85289264</v>
      </c>
      <c r="Z111" s="10">
        <f t="shared" si="487"/>
        <v>576329387.73310852</v>
      </c>
      <c r="AA111" s="10">
        <f t="shared" si="487"/>
        <v>589854804.13546717</v>
      </c>
      <c r="AB111" s="10">
        <f t="shared" si="487"/>
        <v>603402292.30085123</v>
      </c>
      <c r="AC111" s="10">
        <f t="shared" si="487"/>
        <v>616978933.06158316</v>
      </c>
      <c r="AD111" s="10">
        <f t="shared" si="487"/>
        <v>630570427.63557315</v>
      </c>
      <c r="AE111" s="10">
        <f t="shared" si="487"/>
        <v>644148414.85873902</v>
      </c>
      <c r="AF111" s="10">
        <f t="shared" si="487"/>
        <v>657762060.6983155</v>
      </c>
      <c r="AG111" s="10">
        <f t="shared" si="487"/>
        <v>671410533.37907255</v>
      </c>
      <c r="AH111" s="10">
        <f t="shared" si="487"/>
        <v>685095021.4853462</v>
      </c>
      <c r="AI111" s="10">
        <f t="shared" si="487"/>
        <v>698815370.0331012</v>
      </c>
      <c r="AJ111" s="10">
        <f t="shared" si="487"/>
        <v>712571519.36319113</v>
      </c>
      <c r="AK111" s="10">
        <f t="shared" si="487"/>
        <v>726364020.57374561</v>
      </c>
      <c r="AL111" s="10">
        <f t="shared" si="487"/>
        <v>740192938.30107701</v>
      </c>
      <c r="AM111" s="10">
        <f t="shared" si="487"/>
        <v>774159586.32639444</v>
      </c>
      <c r="AN111" s="10">
        <f t="shared" ref="AN111:AP111" si="488">IF(AN103-AN108&gt;0,AN103-AN108,0)</f>
        <v>725977988.35223746</v>
      </c>
      <c r="AO111" s="10">
        <f t="shared" si="488"/>
        <v>647796411.49890661</v>
      </c>
      <c r="AP111" s="10">
        <f t="shared" si="488"/>
        <v>659123386.56142497</v>
      </c>
      <c r="AQ111" s="10">
        <f t="shared" ref="AQ111:AS111" si="489">IF(AQ103-AQ108&gt;0,AQ103-AQ108,0)</f>
        <v>670487582.57522905</v>
      </c>
      <c r="AR111" s="10">
        <f t="shared" si="489"/>
        <v>681889001.41308129</v>
      </c>
      <c r="AS111" s="10">
        <f t="shared" si="489"/>
        <v>693327644.75326681</v>
      </c>
      <c r="AT111" s="10">
        <f t="shared" ref="AT111:AY111" si="490">IF(AT103-AT108&gt;0,AT103-AT108,0)</f>
        <v>704803514.09296656</v>
      </c>
      <c r="AU111" s="10">
        <f t="shared" si="490"/>
        <v>716316610.7570883</v>
      </c>
      <c r="AV111" s="10">
        <f t="shared" si="490"/>
        <v>727866935.90897918</v>
      </c>
      <c r="AW111" s="10">
        <f t="shared" si="490"/>
        <v>739454606.32195115</v>
      </c>
      <c r="AX111" s="10">
        <f t="shared" si="490"/>
        <v>751079504.45474458</v>
      </c>
      <c r="AY111" s="10">
        <f t="shared" si="490"/>
        <v>762741631.32516551</v>
      </c>
      <c r="AZ111" s="10">
        <f t="shared" ref="AZ111:BE111" si="491">IF(AZ103-AZ108&gt;0,AZ103-AZ108,0)</f>
        <v>774441104.83062303</v>
      </c>
      <c r="BA111" s="10">
        <f t="shared" si="491"/>
        <v>786177677.6929822</v>
      </c>
      <c r="BB111" s="10">
        <f t="shared" si="491"/>
        <v>797951483.36103857</v>
      </c>
      <c r="BC111" s="10">
        <f t="shared" si="491"/>
        <v>809762642.29652178</v>
      </c>
      <c r="BD111" s="10">
        <f t="shared" si="491"/>
        <v>821611555.27493441</v>
      </c>
      <c r="BE111" s="10">
        <f t="shared" si="491"/>
        <v>833497752.15734637</v>
      </c>
      <c r="BF111" s="10">
        <f t="shared" ref="BF111:BG111" si="492">IF(BF103-BF108&gt;0,BF103-BF108,0)</f>
        <v>845421232.94375837</v>
      </c>
      <c r="BG111" s="10">
        <f t="shared" si="492"/>
        <v>857381997.63417101</v>
      </c>
      <c r="BH111" s="10">
        <f t="shared" ref="BH111" si="493">IF(BH103-BH108&gt;0,BH103-BH108,0)</f>
        <v>869380046.2285831</v>
      </c>
      <c r="BI111" s="10"/>
    </row>
    <row r="112" spans="1:61" hidden="1" x14ac:dyDescent="0.2">
      <c r="A112" t="s">
        <v>31</v>
      </c>
      <c r="B112" s="31"/>
      <c r="C112" s="10">
        <f>IF(C110&lt;0,SUM(C104)-C110,0)</f>
        <v>15055954.662893724</v>
      </c>
      <c r="D112" s="10">
        <f>IF(SUM($C104:D104)-D110&gt;C112,SUM($C104:D104)-D110,C112)</f>
        <v>50983729.325787455</v>
      </c>
      <c r="E112" s="10">
        <f>IF(SUM($C104:E104)-E110&gt;D112,SUM($C104:E104)-E110,D112)</f>
        <v>50983729.325787455</v>
      </c>
      <c r="F112" s="10">
        <f>IF(SUM($C104:F104)-F110&gt;E112,SUM($C104:F104)-F110,E112)</f>
        <v>50983729.325787455</v>
      </c>
      <c r="G112" s="10">
        <f>IF(SUM($C104:G104)-G110&gt;F112,SUM($C104:G104)-G110,F112)</f>
        <v>50983729.325787455</v>
      </c>
      <c r="H112" s="10">
        <f>IF(SUM($C104:H104)-H110&gt;G112,SUM($C104:H104)-H110,G112)</f>
        <v>50983729.325787455</v>
      </c>
      <c r="I112" s="10">
        <f>IF(SUM($C104:I104)-I110&gt;H112,SUM($C104:I104)-I110,H112)</f>
        <v>50983729.325787455</v>
      </c>
      <c r="J112" s="10">
        <f>IF(SUM($C104:J104)-J110&gt;I112,SUM($C104:J104)-J110,I112)</f>
        <v>50983729.325787455</v>
      </c>
      <c r="K112" s="10">
        <f>IF(SUM($C104:K104)-K110&gt;J112,SUM($C104:K104)-K110,J112)</f>
        <v>50983729.325787455</v>
      </c>
      <c r="L112" s="10">
        <f>IF(SUM($C104:L104)-L110&gt;K112,SUM($C104:L104)-L110,K112)</f>
        <v>50983729.325787455</v>
      </c>
      <c r="M112" s="10">
        <f>IF(SUM($C104:M104)-M110&gt;L112,SUM($C104:M104)-M110,L112)</f>
        <v>50983729.325787455</v>
      </c>
      <c r="N112" s="10">
        <f>IF(SUM($C104:N104)-N110&gt;M112,SUM($C104:N104)-N110,M112)</f>
        <v>50983729.325787455</v>
      </c>
      <c r="O112" s="10">
        <f>IF(SUM($C104:O104)-O110&gt;N112,SUM($C104:O104)-O110,N112)</f>
        <v>50983729.325787455</v>
      </c>
      <c r="P112" s="10">
        <f>IF(SUM($C104:P104)-P110&gt;O112,SUM($C104:P104)-P110,O112)</f>
        <v>50983729.325787455</v>
      </c>
      <c r="Q112" s="10">
        <f>IF(SUM($C104:Q104)-Q110&gt;P112,SUM($C104:Q104)-Q110,P112)</f>
        <v>50983729.325787455</v>
      </c>
      <c r="R112" s="10">
        <f>IF(SUM($C104:R104)-R110&gt;Q112,SUM($C104:R104)-R110,Q112)</f>
        <v>50983729.325787455</v>
      </c>
      <c r="S112" s="10">
        <f>IF(SUM($C104:S104)-S110&gt;R112,SUM($C104:S104)-S110,R112)</f>
        <v>50983729.325787455</v>
      </c>
      <c r="T112" s="10">
        <f>IF(SUM($C104:T104)-T110&gt;S112,SUM($C104:T104)-T110,S112)</f>
        <v>50983729.325787455</v>
      </c>
      <c r="U112" s="10">
        <f>IF(SUM($C104:U104)-U110&gt;T112,SUM($C104:U104)-U110,T112)</f>
        <v>50983729.325787455</v>
      </c>
      <c r="V112" s="10">
        <f>IF(SUM($C104:V104)-V110&gt;U112,SUM($C104:V104)-V110,U112)</f>
        <v>50983729.325787455</v>
      </c>
      <c r="W112" s="10">
        <f>IF(SUM($C104:W104)-W110&gt;V112,SUM($C104:W104)-W110,V112)</f>
        <v>50983729.325787455</v>
      </c>
      <c r="X112" s="10">
        <f>IF(SUM($C104:X104)-X110&gt;W112,SUM($C104:X104)-X110,W112)</f>
        <v>50983729.325787455</v>
      </c>
      <c r="Y112" s="10">
        <f>IF(SUM($C104:Y104)-Y110&gt;X112,SUM($C104:Y104)-Y110,X112)</f>
        <v>50983729.325787455</v>
      </c>
      <c r="Z112" s="10">
        <f>IF(SUM($C104:Z104)-Z110&gt;Y112,SUM($C104:Z104)-Z110,Y112)</f>
        <v>50983729.325787455</v>
      </c>
      <c r="AA112" s="10">
        <f>IF(SUM($C104:AA104)-AA110&gt;Z112,SUM($C104:AA104)-AA110,Z112)</f>
        <v>50983729.325787455</v>
      </c>
      <c r="AB112" s="10">
        <f>IF(SUM($C104:AB104)-AB110&gt;AA112,SUM($C104:AB104)-AB110,AA112)</f>
        <v>50983729.325787455</v>
      </c>
      <c r="AC112" s="10">
        <f>IF(SUM($C104:AC104)-AC110&gt;AB112,SUM($C104:AC104)-AC110,AB112)</f>
        <v>50983729.325787455</v>
      </c>
      <c r="AD112" s="10">
        <f>IF(SUM($C104:AD104)-AD110&gt;AC112,SUM($C104:AD104)-AD110,AC112)</f>
        <v>50983729.325787455</v>
      </c>
      <c r="AE112" s="10">
        <f>IF(SUM($C104:AE104)-AE110&gt;AD112,SUM($C104:AE104)-AE110,AD112)</f>
        <v>50983729.325787455</v>
      </c>
      <c r="AF112" s="10">
        <f>IF(SUM($C104:AF104)-AF110&gt;AE112,SUM($C104:AF104)-AF110,AE112)</f>
        <v>50983729.325787455</v>
      </c>
      <c r="AG112" s="10">
        <f>IF(SUM($C104:AG104)-AG110&gt;AF112,SUM($C104:AG104)-AG110,AF112)</f>
        <v>50983729.325787455</v>
      </c>
      <c r="AH112" s="10">
        <f>IF(SUM($C104:AH104)-AH110&gt;AG112,SUM($C104:AH104)-AH110,AG112)</f>
        <v>50983729.325787455</v>
      </c>
      <c r="AI112" s="10">
        <f>IF(SUM($C104:AI104)-AI110&gt;AH112,SUM($C104:AI104)-AI110,AH112)</f>
        <v>50983729.325787455</v>
      </c>
      <c r="AJ112" s="10">
        <f>IF(SUM($C104:AJ104)-AJ110&gt;AI112,SUM($C104:AJ104)-AJ110,AI112)</f>
        <v>50983729.325787455</v>
      </c>
      <c r="AK112" s="10">
        <f>IF(SUM($C104:AK104)-AK110&gt;AJ112,SUM($C104:AK104)-AK110,AJ112)</f>
        <v>50983729.325787455</v>
      </c>
      <c r="AL112" s="10">
        <f>IF(SUM($C104:AL104)-AL110&gt;AK112,SUM($C104:AL104)-AL110,AK112)</f>
        <v>50983729.325787455</v>
      </c>
      <c r="AM112" s="10">
        <f>IF(SUM($C104:AM104)-AM110&gt;AL112,SUM($C104:AM104)-AM110,AL112)</f>
        <v>50983729.325787455</v>
      </c>
      <c r="AN112" s="10">
        <f>IF(SUM($C104:AN104)-AN110&gt;AM112,SUM($C104:AN104)-AN110,AM112)</f>
        <v>50983729.325787455</v>
      </c>
      <c r="AO112" s="10">
        <f>IF(SUM($C104:AO104)-AO110&gt;AN112,SUM($C104:AO104)-AO110,AN112)</f>
        <v>50983729.325787455</v>
      </c>
      <c r="AP112" s="10">
        <f>IF(SUM($C104:AP104)-AP110&gt;AO112,SUM($C104:AP104)-AP110,AO112)</f>
        <v>50983729.325787455</v>
      </c>
      <c r="AQ112" s="10">
        <f>IF(SUM($C104:AQ104)-AQ110&gt;AP112,SUM($C104:AQ104)-AQ110,AP112)</f>
        <v>50983729.325787455</v>
      </c>
      <c r="AR112" s="10">
        <f>IF(SUM($C104:AR104)-AR110&gt;AQ112,SUM($C104:AR104)-AR110,AQ112)</f>
        <v>50983729.325787455</v>
      </c>
      <c r="AS112" s="10">
        <f>IF(SUM($C104:AS104)-AS110&gt;AR112,SUM($C104:AS104)-AS110,AR112)</f>
        <v>50983729.325787455</v>
      </c>
      <c r="AT112" s="10">
        <f>IF(SUM($C104:AT104)-AT110&gt;AS112,SUM($C104:AT104)-AT110,AS112)</f>
        <v>50983729.325787455</v>
      </c>
      <c r="AU112" s="10">
        <f>IF(SUM($C104:AU104)-AU110&gt;AT112,SUM($C104:AU104)-AU110,AT112)</f>
        <v>50983729.325787455</v>
      </c>
      <c r="AV112" s="10">
        <f>IF(SUM($C104:AV104)-AV110&gt;AU112,SUM($C104:AV104)-AV110,AU112)</f>
        <v>50983729.325787455</v>
      </c>
      <c r="AW112" s="10">
        <f>IF(SUM($C104:AW104)-AW110&gt;AV112,SUM($C104:AW104)-AW110,AV112)</f>
        <v>50983729.325787455</v>
      </c>
      <c r="AX112" s="10">
        <f>IF(SUM($C104:AX104)-AX110&gt;AW112,SUM($C104:AX104)-AX110,AW112)</f>
        <v>50983729.325787455</v>
      </c>
      <c r="AY112" s="10">
        <f>IF(SUM($C104:AY104)-AY110&gt;AX112,SUM($C104:AY104)-AY110,AX112)</f>
        <v>50983729.325787455</v>
      </c>
      <c r="AZ112" s="10">
        <f>IF(SUM($C104:AZ104)-AZ110&gt;AY112,SUM($C104:AZ104)-AZ110,AY112)</f>
        <v>50983729.325787455</v>
      </c>
      <c r="BA112" s="10">
        <f>IF(SUM($C104:BA104)-BA110&gt;AZ112,SUM($C104:BA104)-BA110,AZ112)</f>
        <v>50983729.325787455</v>
      </c>
      <c r="BB112" s="10">
        <f>IF(SUM($C104:BB104)-BB110&gt;BA112,SUM($C104:BB104)-BB110,BA112)</f>
        <v>50983729.325787455</v>
      </c>
      <c r="BC112" s="10">
        <f>IF(SUM($C104:BC104)-BC110&gt;BB112,SUM($C104:BC104)-BC110,BB112)</f>
        <v>50983729.325787455</v>
      </c>
      <c r="BD112" s="10">
        <f>IF(SUM($C104:BD104)-BD110&gt;BC112,SUM($C104:BD104)-BD110,BC112)</f>
        <v>50983729.325787455</v>
      </c>
      <c r="BE112" s="10">
        <f>IF(SUM($C104:BE104)-BE110&gt;BD112,SUM($C104:BE104)-BE110,BD112)</f>
        <v>50983729.325787455</v>
      </c>
      <c r="BF112" s="10">
        <f>IF(SUM($C104:BF104)-BF110&gt;BE112,SUM($C104:BF104)-BF110,BE112)</f>
        <v>50983729.325787455</v>
      </c>
      <c r="BG112" s="10">
        <f>IF(SUM($C104:BG104)-BG110&gt;BF112,SUM($C104:BG104)-BG110,BF112)</f>
        <v>50983729.325787455</v>
      </c>
      <c r="BH112" s="10">
        <f>IF(SUM($C104:BH104)-BH110&gt;BG112,SUM($C104:BH104)-BH110,BG112)</f>
        <v>50983729.325787455</v>
      </c>
      <c r="BI112" s="10"/>
    </row>
    <row r="113" spans="1:61" s="74" customFormat="1" x14ac:dyDescent="0.2">
      <c r="A113" s="74" t="s">
        <v>562</v>
      </c>
      <c r="B113" s="121">
        <v>0.02</v>
      </c>
      <c r="C113" s="121">
        <f xml:space="preserve"> 1 + B113</f>
        <v>1.02</v>
      </c>
      <c r="D113" s="121">
        <f xml:space="preserve"> (1 + $B113) * C113</f>
        <v>1.0404</v>
      </c>
      <c r="E113" s="121">
        <f xml:space="preserve"> (1 + $B113) * D113</f>
        <v>1.0612079999999999</v>
      </c>
      <c r="F113" s="121">
        <f xml:space="preserve"> (1 + $B113) * E113</f>
        <v>1.08243216</v>
      </c>
      <c r="G113" s="121">
        <f t="shared" ref="G113:AO113" si="494" xml:space="preserve"> (1 + $B113) * F113</f>
        <v>1.1040808032</v>
      </c>
      <c r="H113" s="121">
        <f t="shared" si="494"/>
        <v>1.1261624192640001</v>
      </c>
      <c r="I113" s="121">
        <f t="shared" si="494"/>
        <v>1.14868566764928</v>
      </c>
      <c r="J113" s="121">
        <f t="shared" si="494"/>
        <v>1.1716593810022657</v>
      </c>
      <c r="K113" s="121">
        <f t="shared" si="494"/>
        <v>1.1950925686223111</v>
      </c>
      <c r="L113" s="121">
        <f t="shared" si="494"/>
        <v>1.2189944199947573</v>
      </c>
      <c r="M113" s="121">
        <f t="shared" si="494"/>
        <v>1.2433743083946525</v>
      </c>
      <c r="N113" s="121">
        <f t="shared" si="494"/>
        <v>1.2682417945625455</v>
      </c>
      <c r="O113" s="121">
        <f t="shared" si="494"/>
        <v>1.2936066304537963</v>
      </c>
      <c r="P113" s="121">
        <f t="shared" si="494"/>
        <v>1.3194787630628724</v>
      </c>
      <c r="Q113" s="121">
        <f t="shared" si="494"/>
        <v>1.3458683383241299</v>
      </c>
      <c r="R113" s="121">
        <f t="shared" si="494"/>
        <v>1.3727857050906125</v>
      </c>
      <c r="S113" s="121">
        <f t="shared" si="494"/>
        <v>1.4002414191924248</v>
      </c>
      <c r="T113" s="121">
        <f t="shared" si="494"/>
        <v>1.4282462475762734</v>
      </c>
      <c r="U113" s="121">
        <f t="shared" si="494"/>
        <v>1.4568111725277988</v>
      </c>
      <c r="V113" s="121">
        <f t="shared" si="494"/>
        <v>1.4859473959783549</v>
      </c>
      <c r="W113" s="121">
        <f t="shared" si="494"/>
        <v>1.5156663438979221</v>
      </c>
      <c r="X113" s="121">
        <f t="shared" si="494"/>
        <v>1.5459796707758806</v>
      </c>
      <c r="Y113" s="121">
        <f t="shared" si="494"/>
        <v>1.5768992641913981</v>
      </c>
      <c r="Z113" s="121">
        <f t="shared" si="494"/>
        <v>1.6084372494752261</v>
      </c>
      <c r="AA113" s="121">
        <f t="shared" si="494"/>
        <v>1.6406059944647307</v>
      </c>
      <c r="AB113" s="121">
        <f t="shared" si="494"/>
        <v>1.6734181143540252</v>
      </c>
      <c r="AC113" s="121">
        <f t="shared" si="494"/>
        <v>1.7068864766411058</v>
      </c>
      <c r="AD113" s="121">
        <f t="shared" si="494"/>
        <v>1.7410242061739281</v>
      </c>
      <c r="AE113" s="121">
        <f t="shared" si="494"/>
        <v>1.7758446902974065</v>
      </c>
      <c r="AF113" s="121">
        <f t="shared" si="494"/>
        <v>1.8113615841033548</v>
      </c>
      <c r="AG113" s="121">
        <f t="shared" si="494"/>
        <v>1.8475888157854219</v>
      </c>
      <c r="AH113" s="121">
        <f t="shared" si="494"/>
        <v>1.8845405921011305</v>
      </c>
      <c r="AI113" s="121">
        <f t="shared" si="494"/>
        <v>1.9222314039431532</v>
      </c>
      <c r="AJ113" s="121">
        <f t="shared" si="494"/>
        <v>1.9606760320220162</v>
      </c>
      <c r="AK113" s="121">
        <f t="shared" si="494"/>
        <v>1.9998895526624565</v>
      </c>
      <c r="AL113" s="121">
        <f t="shared" si="494"/>
        <v>2.0398873437157055</v>
      </c>
      <c r="AM113" s="121">
        <f t="shared" si="494"/>
        <v>2.0806850905900198</v>
      </c>
      <c r="AN113" s="121">
        <f t="shared" si="494"/>
        <v>2.1222987924018204</v>
      </c>
      <c r="AO113" s="121">
        <f t="shared" si="494"/>
        <v>2.1647447682498568</v>
      </c>
      <c r="AP113" s="121">
        <f t="shared" ref="AP113" si="495" xml:space="preserve"> (1 + $B113) * AO113</f>
        <v>2.208039663614854</v>
      </c>
      <c r="AQ113" s="121">
        <f t="shared" ref="AQ113" si="496" xml:space="preserve"> (1 + $B113) * AP113</f>
        <v>2.252200456887151</v>
      </c>
      <c r="AR113" s="121">
        <f t="shared" ref="AR113" si="497" xml:space="preserve"> (1 + $B113) * AQ113</f>
        <v>2.2972444660248938</v>
      </c>
      <c r="AS113" s="121">
        <f t="shared" ref="AS113" si="498" xml:space="preserve"> (1 + $B113) * AR113</f>
        <v>2.343189355345392</v>
      </c>
      <c r="AT113" s="121">
        <f t="shared" ref="AT113" si="499" xml:space="preserve"> (1 + $B113) * AS113</f>
        <v>2.3900531424522997</v>
      </c>
      <c r="AU113" s="121">
        <f t="shared" ref="AU113" si="500" xml:space="preserve"> (1 + $B113) * AT113</f>
        <v>2.4378542053013459</v>
      </c>
      <c r="AV113" s="121">
        <f t="shared" ref="AV113" si="501" xml:space="preserve"> (1 + $B113) * AU113</f>
        <v>2.4866112894073726</v>
      </c>
      <c r="AW113" s="121">
        <f t="shared" ref="AW113" si="502" xml:space="preserve"> (1 + $B113) * AV113</f>
        <v>2.53634351519552</v>
      </c>
      <c r="AX113" s="121">
        <f t="shared" ref="AX113" si="503" xml:space="preserve"> (1 + $B113) * AW113</f>
        <v>2.5870703854994304</v>
      </c>
      <c r="AY113" s="121">
        <f t="shared" ref="AY113" si="504" xml:space="preserve"> (1 + $B113) * AX113</f>
        <v>2.6388117932094191</v>
      </c>
      <c r="AZ113" s="121">
        <f t="shared" ref="AZ113" si="505" xml:space="preserve"> (1 + $B113) * AY113</f>
        <v>2.6915880290736074</v>
      </c>
      <c r="BA113" s="121">
        <f t="shared" ref="BA113" si="506" xml:space="preserve"> (1 + $B113) * AZ113</f>
        <v>2.7454197896550796</v>
      </c>
      <c r="BB113" s="121">
        <f t="shared" ref="BB113" si="507" xml:space="preserve"> (1 + $B113) * BA113</f>
        <v>2.8003281854481812</v>
      </c>
      <c r="BC113" s="121">
        <f t="shared" ref="BC113" si="508" xml:space="preserve"> (1 + $B113) * BB113</f>
        <v>2.8563347491571447</v>
      </c>
      <c r="BD113" s="121">
        <f t="shared" ref="BD113" si="509" xml:space="preserve"> (1 + $B113) * BC113</f>
        <v>2.9134614441402875</v>
      </c>
      <c r="BE113" s="121">
        <f t="shared" ref="BE113" si="510" xml:space="preserve"> (1 + $B113) * BD113</f>
        <v>2.9717306730230932</v>
      </c>
      <c r="BF113" s="121">
        <f t="shared" ref="BF113" si="511" xml:space="preserve"> (1 + $B113) * BE113</f>
        <v>3.0311652864835552</v>
      </c>
      <c r="BG113" s="121">
        <f t="shared" ref="BG113:BH113" si="512" xml:space="preserve"> (1 + $B113) * BF113</f>
        <v>3.0917885922132262</v>
      </c>
      <c r="BH113" s="121">
        <f t="shared" si="512"/>
        <v>3.1536243640574906</v>
      </c>
      <c r="BI113" s="75"/>
    </row>
    <row r="114" spans="1:61" s="74" customFormat="1" x14ac:dyDescent="0.2">
      <c r="A114" s="74" t="s">
        <v>514</v>
      </c>
      <c r="B114" s="121"/>
      <c r="C114" s="75">
        <f xml:space="preserve"> C108 * C113</f>
        <v>2418583.2000000002</v>
      </c>
      <c r="D114" s="75">
        <f t="shared" ref="D114:AM114" si="513" xml:space="preserve"> D108 * D113</f>
        <v>2466954.8640000001</v>
      </c>
      <c r="E114" s="75">
        <f t="shared" si="513"/>
        <v>26928990.191760976</v>
      </c>
      <c r="F114" s="75">
        <f t="shared" si="513"/>
        <v>27471805.839124702</v>
      </c>
      <c r="G114" s="75">
        <f t="shared" si="513"/>
        <v>115350096.03943965</v>
      </c>
      <c r="H114" s="75">
        <f t="shared" si="513"/>
        <v>172603556.77271491</v>
      </c>
      <c r="I114" s="75">
        <f t="shared" si="513"/>
        <v>197868709.97912407</v>
      </c>
      <c r="J114" s="75">
        <f t="shared" si="513"/>
        <v>225979380.47170791</v>
      </c>
      <c r="K114" s="75">
        <f t="shared" si="513"/>
        <v>255099981.80954993</v>
      </c>
      <c r="L114" s="75">
        <f t="shared" si="513"/>
        <v>285240894.1553691</v>
      </c>
      <c r="M114" s="75">
        <f t="shared" si="513"/>
        <v>290820015.34339559</v>
      </c>
      <c r="N114" s="75">
        <f t="shared" si="513"/>
        <v>296503001.86771047</v>
      </c>
      <c r="O114" s="75">
        <f t="shared" si="513"/>
        <v>302297633.72469044</v>
      </c>
      <c r="P114" s="75">
        <f t="shared" si="513"/>
        <v>308208816.85995829</v>
      </c>
      <c r="Q114" s="75">
        <f t="shared" si="513"/>
        <v>314233965.60880077</v>
      </c>
      <c r="R114" s="75">
        <f t="shared" si="513"/>
        <v>320379277.64393288</v>
      </c>
      <c r="S114" s="75">
        <f t="shared" si="513"/>
        <v>326644433.05995524</v>
      </c>
      <c r="T114" s="75">
        <f t="shared" si="513"/>
        <v>333041140.16988826</v>
      </c>
      <c r="U114" s="75">
        <f t="shared" si="513"/>
        <v>339563155.92765087</v>
      </c>
      <c r="V114" s="75">
        <f t="shared" si="513"/>
        <v>346218960.75066113</v>
      </c>
      <c r="W114" s="75">
        <f t="shared" si="513"/>
        <v>353008067.75189108</v>
      </c>
      <c r="X114" s="75">
        <f t="shared" si="513"/>
        <v>359938847.15641099</v>
      </c>
      <c r="Y114" s="75">
        <f t="shared" si="513"/>
        <v>367006446.00163239</v>
      </c>
      <c r="Z114" s="75">
        <f t="shared" si="513"/>
        <v>374215983.14256293</v>
      </c>
      <c r="AA114" s="75">
        <f t="shared" si="513"/>
        <v>381510585.86251569</v>
      </c>
      <c r="AB114" s="75">
        <f t="shared" si="513"/>
        <v>388972742.57027549</v>
      </c>
      <c r="AC114" s="75">
        <f t="shared" si="513"/>
        <v>396594660.53277564</v>
      </c>
      <c r="AD114" s="75">
        <f t="shared" si="513"/>
        <v>404404917.44767606</v>
      </c>
      <c r="AE114" s="75">
        <f t="shared" si="513"/>
        <v>412459144.15515339</v>
      </c>
      <c r="AF114" s="75">
        <f t="shared" si="513"/>
        <v>420676721.94745189</v>
      </c>
      <c r="AG114" s="75">
        <f t="shared" si="513"/>
        <v>429062558.83556539</v>
      </c>
      <c r="AH114" s="75">
        <f t="shared" si="513"/>
        <v>437617949.00961792</v>
      </c>
      <c r="AI114" s="75">
        <f t="shared" si="513"/>
        <v>446346665.99145257</v>
      </c>
      <c r="AJ114" s="75">
        <f t="shared" si="513"/>
        <v>455252392.39405906</v>
      </c>
      <c r="AK114" s="75">
        <f t="shared" si="513"/>
        <v>464337673.13050389</v>
      </c>
      <c r="AL114" s="75">
        <f t="shared" si="513"/>
        <v>473606033.51166683</v>
      </c>
      <c r="AM114" s="75">
        <f t="shared" si="513"/>
        <v>441236694.11265504</v>
      </c>
      <c r="AN114" s="75">
        <f t="shared" ref="AN114:AP114" si="514" xml:space="preserve"> AN108 * AN113</f>
        <v>379826485.43797582</v>
      </c>
      <c r="AO114" s="75">
        <f t="shared" si="514"/>
        <v>306419419.08557326</v>
      </c>
      <c r="AP114" s="75">
        <f t="shared" si="514"/>
        <v>312553166.80234814</v>
      </c>
      <c r="AQ114" s="75">
        <f t="shared" ref="AQ114:AS114" si="515" xml:space="preserve"> AQ108 * AQ113</f>
        <v>318809838.44229037</v>
      </c>
      <c r="AR114" s="75">
        <f t="shared" si="515"/>
        <v>325191895.99669069</v>
      </c>
      <c r="AS114" s="75">
        <f t="shared" si="515"/>
        <v>331701851.10724485</v>
      </c>
      <c r="AT114" s="75">
        <f t="shared" ref="AT114:AY114" si="516" xml:space="preserve"> AT108 * AT113</f>
        <v>338342266.05861902</v>
      </c>
      <c r="AU114" s="75">
        <f t="shared" si="516"/>
        <v>345115754.80036783</v>
      </c>
      <c r="AV114" s="75">
        <f t="shared" si="516"/>
        <v>352024983.98398983</v>
      </c>
      <c r="AW114" s="75">
        <f t="shared" si="516"/>
        <v>359072380.41039956</v>
      </c>
      <c r="AX114" s="75">
        <f t="shared" si="516"/>
        <v>366261008.05269742</v>
      </c>
      <c r="AY114" s="75">
        <f t="shared" si="516"/>
        <v>373593697.42219841</v>
      </c>
      <c r="AZ114" s="75">
        <f t="shared" ref="AZ114:BE114" si="517" xml:space="preserve"> AZ108 * AZ113</f>
        <v>381073021.11714971</v>
      </c>
      <c r="BA114" s="75">
        <f t="shared" si="517"/>
        <v>388702586.94018823</v>
      </c>
      <c r="BB114" s="75">
        <f t="shared" si="517"/>
        <v>396485049.27971709</v>
      </c>
      <c r="BC114" s="75">
        <f t="shared" si="517"/>
        <v>404423130.95288408</v>
      </c>
      <c r="BD114" s="75">
        <f t="shared" si="517"/>
        <v>412518772.14162385</v>
      </c>
      <c r="BE114" s="75">
        <f t="shared" si="517"/>
        <v>420776469.72553205</v>
      </c>
      <c r="BF114" s="75">
        <f t="shared" ref="BF114:BG114" si="518" xml:space="preserve"> BF108 * BF113</f>
        <v>429199467.70393997</v>
      </c>
      <c r="BG114" s="75">
        <f t="shared" si="518"/>
        <v>437791075.01359385</v>
      </c>
      <c r="BH114" s="75">
        <f t="shared" ref="BH114" si="519" xml:space="preserve"> BH108 * BH113</f>
        <v>446554666.82855231</v>
      </c>
      <c r="BI114" s="75"/>
    </row>
    <row r="115" spans="1:61" x14ac:dyDescent="0.2">
      <c r="B115" s="3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</row>
    <row r="116" spans="1:61" x14ac:dyDescent="0.2">
      <c r="A116" t="s">
        <v>519</v>
      </c>
      <c r="B116" s="31"/>
      <c r="C116" s="10">
        <f ca="1">IF(C114&gt;C103,C106+C114,C106-IF(COLUMN()&lt;C120-1,0,OFFSET(C116,-2,-C120)))</f>
        <v>15357073.756151598</v>
      </c>
      <c r="D116" s="10">
        <f ca="1">IF(D114&gt;D103,C116+D106+D114,C116+D106)</f>
        <v>52736330.515426226</v>
      </c>
      <c r="E116" s="10">
        <f ca="1">IF(E114&gt;E103,D116+E106+E114,D116+E106)</f>
        <v>82926944.359744489</v>
      </c>
      <c r="F116" s="10">
        <f ca="1">IF(F114&gt;F103,E116+F106+F114,E116+F106)</f>
        <v>315202275.2604692</v>
      </c>
      <c r="G116" s="10">
        <f t="shared" ref="G116:AO116" ca="1" si="520">IF(G114&gt;G103,F116+G106+G114,F116+G106)</f>
        <v>548155923.06094944</v>
      </c>
      <c r="H116" s="10">
        <f t="shared" ca="1" si="520"/>
        <v>732372967.24883151</v>
      </c>
      <c r="I116" s="10">
        <f t="shared" ca="1" si="520"/>
        <v>935696120.62476182</v>
      </c>
      <c r="J116" s="10">
        <f t="shared" ca="1" si="520"/>
        <v>1164173042.0018561</v>
      </c>
      <c r="K116" s="10">
        <f t="shared" ca="1" si="520"/>
        <v>1387506137.0631909</v>
      </c>
      <c r="L116" s="10">
        <f t="shared" ca="1" si="520"/>
        <v>1474587088.7536359</v>
      </c>
      <c r="M116" s="10">
        <f t="shared" ca="1" si="520"/>
        <v>1562793926.5068083</v>
      </c>
      <c r="N116" s="10">
        <f t="shared" ca="1" si="520"/>
        <v>1652139871.169745</v>
      </c>
      <c r="O116" s="10">
        <f t="shared" ca="1" si="520"/>
        <v>1742650744.6495707</v>
      </c>
      <c r="P116" s="10">
        <f t="shared" ca="1" si="520"/>
        <v>1834330193.720598</v>
      </c>
      <c r="Q116" s="10">
        <f t="shared" ca="1" si="520"/>
        <v>1927200022.1591392</v>
      </c>
      <c r="R116" s="10">
        <f t="shared" ca="1" si="520"/>
        <v>2021269901.8033273</v>
      </c>
      <c r="S116" s="10">
        <f t="shared" ca="1" si="520"/>
        <v>2116592672.2282624</v>
      </c>
      <c r="T116" s="10">
        <f t="shared" ca="1" si="520"/>
        <v>2213181274.0348496</v>
      </c>
      <c r="U116" s="10">
        <f t="shared" ca="1" si="520"/>
        <v>2311076479.0443635</v>
      </c>
      <c r="V116" s="10">
        <f t="shared" ca="1" si="520"/>
        <v>2410305278.1277447</v>
      </c>
      <c r="W116" s="10">
        <f t="shared" ca="1" si="520"/>
        <v>2510921527.9837465</v>
      </c>
      <c r="X116" s="10">
        <f t="shared" ca="1" si="520"/>
        <v>2612944688.0257502</v>
      </c>
      <c r="Y116" s="10">
        <f t="shared" ca="1" si="520"/>
        <v>2716405602.4434137</v>
      </c>
      <c r="Z116" s="10">
        <f t="shared" ca="1" si="520"/>
        <v>2821060151.1229539</v>
      </c>
      <c r="AA116" s="10">
        <f t="shared" ca="1" si="520"/>
        <v>2927032181.1777468</v>
      </c>
      <c r="AB116" s="10">
        <f t="shared" ca="1" si="520"/>
        <v>3034396585.5980163</v>
      </c>
      <c r="AC116" s="10">
        <f t="shared" ca="1" si="520"/>
        <v>3143256873.0761538</v>
      </c>
      <c r="AD116" s="10">
        <f t="shared" ca="1" si="520"/>
        <v>3253688958.5960913</v>
      </c>
      <c r="AE116" s="10">
        <f t="shared" ca="1" si="520"/>
        <v>3365758769.7219396</v>
      </c>
      <c r="AF116" s="10">
        <f t="shared" ca="1" si="520"/>
        <v>3479559499.7740126</v>
      </c>
      <c r="AG116" s="10">
        <f t="shared" ca="1" si="520"/>
        <v>3595153396.3440304</v>
      </c>
      <c r="AH116" s="10">
        <f t="shared" ca="1" si="520"/>
        <v>3712609976.9779196</v>
      </c>
      <c r="AI116" s="10">
        <f t="shared" ca="1" si="520"/>
        <v>3832003540.4121542</v>
      </c>
      <c r="AJ116" s="10">
        <f t="shared" ca="1" si="520"/>
        <v>3953394087.345222</v>
      </c>
      <c r="AK116" s="10">
        <f t="shared" ca="1" si="520"/>
        <v>4127995332.2855973</v>
      </c>
      <c r="AL116" s="10">
        <f t="shared" ca="1" si="520"/>
        <v>4492568687.8444242</v>
      </c>
      <c r="AM116" s="10">
        <f t="shared" ca="1" si="520"/>
        <v>4804284191.4913549</v>
      </c>
      <c r="AN116" s="10">
        <f t="shared" ca="1" si="520"/>
        <v>5106038057.5997801</v>
      </c>
      <c r="AO116" s="10">
        <f t="shared" ca="1" si="520"/>
        <v>5175138437.2599745</v>
      </c>
      <c r="AP116" s="10">
        <f t="shared" ref="AP116" ca="1" si="521">IF(AP114&gt;AP103,AO116+AP106+AP114,AO116+AP106)</f>
        <v>5245621758.9837904</v>
      </c>
      <c r="AQ116" s="10">
        <f t="shared" ref="AQ116" ca="1" si="522">IF(AQ114&gt;AQ103,AP116+AQ106+AQ114,AP116+AQ106)</f>
        <v>5317517921.330677</v>
      </c>
      <c r="AR116" s="10">
        <f t="shared" ref="AR116" ca="1" si="523">IF(AR114&gt;AR103,AQ116+AR106+AR114,AQ116+AR106)</f>
        <v>5390857447.7988129</v>
      </c>
      <c r="AS116" s="10">
        <f t="shared" ref="AS116" ca="1" si="524">IF(AS114&gt;AS103,AR116+AS106+AS114,AR116+AS106)</f>
        <v>5465671505.1131382</v>
      </c>
      <c r="AT116" s="10">
        <f t="shared" ref="AT116" ca="1" si="525">IF(AT114&gt;AT103,AS116+AT106+AT114,AS116+AT106)</f>
        <v>5541991922.0084972</v>
      </c>
      <c r="AU116" s="10">
        <f t="shared" ref="AU116" ca="1" si="526">IF(AU114&gt;AU103,AT116+AU106+AU114,AT116+AU106)</f>
        <v>5619851208.4335747</v>
      </c>
      <c r="AV116" s="10">
        <f t="shared" ref="AV116" ca="1" si="527">IF(AV114&gt;AV103,AU116+AV106+AV114,AU116+AV106)</f>
        <v>5699277927.6815462</v>
      </c>
      <c r="AW116" s="10">
        <f t="shared" ref="AW116" ca="1" si="528">IF(AW114&gt;AW103,AV116+AW106+AW114,AV116+AW106)</f>
        <v>5780305934.1067781</v>
      </c>
      <c r="AX116" s="10">
        <f t="shared" ref="AX116" ca="1" si="529">IF(AX114&gt;AX103,AW116+AX106+AX114,AW116+AX106)</f>
        <v>5862969812.7668047</v>
      </c>
      <c r="AY116" s="10">
        <f t="shared" ref="AY116" ca="1" si="530">IF(AY114&gt;AY103,AX116+AY106+AY114,AX116+AY106)</f>
        <v>5947299914.7153654</v>
      </c>
      <c r="AZ116" s="10">
        <f t="shared" ref="AZ116" ca="1" si="531">IF(AZ114&gt;AZ103,AY116+AZ106+AZ114,AY116+AZ106)</f>
        <v>6033337843.1460028</v>
      </c>
      <c r="BA116" s="10">
        <f t="shared" ref="BA116" ca="1" si="532">IF(BA114&gt;BA103,AZ116+BA106+BA114,AZ116+BA106)</f>
        <v>6121120444.0536404</v>
      </c>
      <c r="BB116" s="10">
        <f t="shared" ref="BB116" ca="1" si="533">IF(BB114&gt;BB103,BA116+BB106+BB114,BA116+BB106)</f>
        <v>6210679953.0802345</v>
      </c>
      <c r="BC116" s="10">
        <f t="shared" ref="BC116" ca="1" si="534">IF(BC114&gt;BC103,BB116+BC106+BC114,BB116+BC106)</f>
        <v>6302030652.2873602</v>
      </c>
      <c r="BD116" s="10">
        <f t="shared" ref="BD116" ca="1" si="535">IF(BD114&gt;BD103,BC116+BD106+BD114,BC116+BD106)</f>
        <v>6395208365.4786291</v>
      </c>
      <c r="BE116" s="10">
        <f t="shared" ref="BE116" ca="1" si="536">IF(BE114&gt;BE103,BD116+BE106+BE114,BD116+BE106)</f>
        <v>6490249632.9337225</v>
      </c>
      <c r="BF116" s="10">
        <f t="shared" ref="BF116" ca="1" si="537">IF(BF114&gt;BF103,BE116+BF106+BF114,BE116+BF106)</f>
        <v>6587191725.7379179</v>
      </c>
      <c r="BG116" s="10">
        <f t="shared" ref="BG116:BH116" ca="1" si="538">IF(BG114&gt;BG103,BF116+BG106+BG114,BF116+BG106)</f>
        <v>6686072660.3981972</v>
      </c>
      <c r="BH116" s="10">
        <f t="shared" ca="1" si="538"/>
        <v>6686072660.3981972</v>
      </c>
      <c r="BI116" s="10"/>
    </row>
    <row r="117" spans="1:61" x14ac:dyDescent="0.2">
      <c r="A117" t="s">
        <v>516</v>
      </c>
      <c r="B117" s="31">
        <v>0.12</v>
      </c>
      <c r="C117" s="10">
        <f xml:space="preserve"> IF(C103&lt;(C106+C114), (1+$B117)*(C106+C114-C103), 0)</f>
        <v>17199922.606889792</v>
      </c>
      <c r="D117" s="10">
        <f xml:space="preserve"> IF(D103&lt;(D106+D114), (1+$B117)*(D106+D114-D103), 0)</f>
        <v>41864767.570387594</v>
      </c>
      <c r="E117" s="10">
        <f xml:space="preserve"> IF(E103&lt;(E106+E114), (1+$B117)*(E106+E114-E103), 0)</f>
        <v>0</v>
      </c>
      <c r="F117" s="10">
        <f t="shared" ref="F117:AM117" si="539" xml:space="preserve"> IF(F103&lt;(F106+F114), (1+$B117)*(F106+F114-F103), 0)</f>
        <v>78699656.92047137</v>
      </c>
      <c r="G117" s="10">
        <f t="shared" si="539"/>
        <v>0</v>
      </c>
      <c r="H117" s="10">
        <f t="shared" si="539"/>
        <v>0</v>
      </c>
      <c r="I117" s="10">
        <f t="shared" si="539"/>
        <v>0</v>
      </c>
      <c r="J117" s="10">
        <f t="shared" si="539"/>
        <v>0</v>
      </c>
      <c r="K117" s="10">
        <f t="shared" si="539"/>
        <v>0</v>
      </c>
      <c r="L117" s="10">
        <f t="shared" si="539"/>
        <v>0</v>
      </c>
      <c r="M117" s="10">
        <f t="shared" si="539"/>
        <v>0</v>
      </c>
      <c r="N117" s="10">
        <f t="shared" si="539"/>
        <v>0</v>
      </c>
      <c r="O117" s="10">
        <f t="shared" si="539"/>
        <v>0</v>
      </c>
      <c r="P117" s="10">
        <f t="shared" si="539"/>
        <v>0</v>
      </c>
      <c r="Q117" s="10">
        <f t="shared" si="539"/>
        <v>0</v>
      </c>
      <c r="R117" s="10">
        <f t="shared" si="539"/>
        <v>0</v>
      </c>
      <c r="S117" s="10">
        <f t="shared" si="539"/>
        <v>0</v>
      </c>
      <c r="T117" s="10">
        <f t="shared" si="539"/>
        <v>0</v>
      </c>
      <c r="U117" s="10">
        <f t="shared" si="539"/>
        <v>0</v>
      </c>
      <c r="V117" s="10">
        <f t="shared" si="539"/>
        <v>0</v>
      </c>
      <c r="W117" s="10">
        <f t="shared" si="539"/>
        <v>0</v>
      </c>
      <c r="X117" s="10">
        <f t="shared" si="539"/>
        <v>0</v>
      </c>
      <c r="Y117" s="10">
        <f t="shared" si="539"/>
        <v>0</v>
      </c>
      <c r="Z117" s="10">
        <f t="shared" si="539"/>
        <v>0</v>
      </c>
      <c r="AA117" s="10">
        <f t="shared" si="539"/>
        <v>0</v>
      </c>
      <c r="AB117" s="10">
        <f t="shared" si="539"/>
        <v>0</v>
      </c>
      <c r="AC117" s="10">
        <f t="shared" si="539"/>
        <v>0</v>
      </c>
      <c r="AD117" s="10">
        <f t="shared" si="539"/>
        <v>0</v>
      </c>
      <c r="AE117" s="10">
        <f t="shared" si="539"/>
        <v>0</v>
      </c>
      <c r="AF117" s="10">
        <f t="shared" si="539"/>
        <v>0</v>
      </c>
      <c r="AG117" s="10">
        <f t="shared" si="539"/>
        <v>0</v>
      </c>
      <c r="AH117" s="10">
        <f t="shared" si="539"/>
        <v>0</v>
      </c>
      <c r="AI117" s="10">
        <f t="shared" si="539"/>
        <v>0</v>
      </c>
      <c r="AJ117" s="10">
        <f t="shared" si="539"/>
        <v>0</v>
      </c>
      <c r="AK117" s="10">
        <f t="shared" si="539"/>
        <v>0</v>
      </c>
      <c r="AL117" s="10">
        <f t="shared" si="539"/>
        <v>0</v>
      </c>
      <c r="AM117" s="10">
        <f t="shared" si="539"/>
        <v>0</v>
      </c>
      <c r="AN117" s="10">
        <f t="shared" ref="AN117:AP117" si="540" xml:space="preserve"> IF(AN103&lt;(AN106+AN114), (1+$B117)*(AN106+AN114-AN103), 0)</f>
        <v>0</v>
      </c>
      <c r="AO117" s="10">
        <f t="shared" si="540"/>
        <v>0</v>
      </c>
      <c r="AP117" s="10">
        <f t="shared" si="540"/>
        <v>0</v>
      </c>
      <c r="AQ117" s="10">
        <f t="shared" ref="AQ117:AS117" si="541" xml:space="preserve"> IF(AQ103&lt;(AQ106+AQ114), (1+$B117)*(AQ106+AQ114-AQ103), 0)</f>
        <v>0</v>
      </c>
      <c r="AR117" s="10">
        <f t="shared" si="541"/>
        <v>0</v>
      </c>
      <c r="AS117" s="10">
        <f t="shared" si="541"/>
        <v>0</v>
      </c>
      <c r="AT117" s="10">
        <f t="shared" ref="AT117:AY117" si="542" xml:space="preserve"> IF(AT103&lt;(AT106+AT114), (1+$B117)*(AT106+AT114-AT103), 0)</f>
        <v>0</v>
      </c>
      <c r="AU117" s="10">
        <f t="shared" si="542"/>
        <v>0</v>
      </c>
      <c r="AV117" s="10">
        <f t="shared" si="542"/>
        <v>0</v>
      </c>
      <c r="AW117" s="10">
        <f t="shared" si="542"/>
        <v>0</v>
      </c>
      <c r="AX117" s="10">
        <f t="shared" si="542"/>
        <v>0</v>
      </c>
      <c r="AY117" s="10">
        <f t="shared" si="542"/>
        <v>0</v>
      </c>
      <c r="AZ117" s="10">
        <f t="shared" ref="AZ117:BE117" si="543" xml:space="preserve"> IF(AZ103&lt;(AZ106+AZ114), (1+$B117)*(AZ106+AZ114-AZ103), 0)</f>
        <v>0</v>
      </c>
      <c r="BA117" s="10">
        <f t="shared" si="543"/>
        <v>0</v>
      </c>
      <c r="BB117" s="10">
        <f t="shared" si="543"/>
        <v>0</v>
      </c>
      <c r="BC117" s="10">
        <f t="shared" si="543"/>
        <v>0</v>
      </c>
      <c r="BD117" s="10">
        <f t="shared" si="543"/>
        <v>0</v>
      </c>
      <c r="BE117" s="10">
        <f t="shared" si="543"/>
        <v>0</v>
      </c>
      <c r="BF117" s="10">
        <f t="shared" ref="BF117:BG117" si="544" xml:space="preserve"> IF(BF103&lt;(BF106+BF114), (1+$B117)*(BF106+BF114-BF103), 0)</f>
        <v>0</v>
      </c>
      <c r="BG117" s="10">
        <f t="shared" si="544"/>
        <v>0</v>
      </c>
      <c r="BH117" s="10">
        <f t="shared" ref="BH117" si="545" xml:space="preserve"> IF(BH103&lt;(BH106+BH114), (1+$B117)*(BH106+BH114-BH103), 0)</f>
        <v>0</v>
      </c>
      <c r="BI117" s="10"/>
    </row>
    <row r="118" spans="1:61" x14ac:dyDescent="0.2">
      <c r="A118" t="s">
        <v>517</v>
      </c>
      <c r="B118" s="31"/>
      <c r="C118" s="10">
        <f xml:space="preserve"> C117</f>
        <v>17199922.606889792</v>
      </c>
      <c r="D118" s="10">
        <f xml:space="preserve"> C118 + D117 -C121</f>
        <v>56941643.330126517</v>
      </c>
      <c r="E118" s="10">
        <f t="shared" ref="E118:AO118" si="546" xml:space="preserve"> D118 + E117 -D121</f>
        <v>49913136.335845649</v>
      </c>
      <c r="F118" s="10">
        <f t="shared" si="546"/>
        <v>122451839.56186371</v>
      </c>
      <c r="G118" s="10">
        <f t="shared" si="546"/>
        <v>107337178.99905965</v>
      </c>
      <c r="H118" s="10">
        <f t="shared" si="546"/>
        <v>94088174.066633999</v>
      </c>
      <c r="I118" s="10">
        <f t="shared" si="546"/>
        <v>82474540.338634878</v>
      </c>
      <c r="J118" s="10">
        <f t="shared" si="546"/>
        <v>72294418.20447962</v>
      </c>
      <c r="K118" s="10">
        <f t="shared" si="546"/>
        <v>63370864.294176236</v>
      </c>
      <c r="L118" s="10">
        <f t="shared" si="546"/>
        <v>55548775.979250677</v>
      </c>
      <c r="M118" s="10">
        <f t="shared" si="546"/>
        <v>48692195.49332466</v>
      </c>
      <c r="N118" s="10">
        <f t="shared" si="546"/>
        <v>42681946.8145575</v>
      </c>
      <c r="O118" s="10">
        <f t="shared" si="546"/>
        <v>37413564.235986508</v>
      </c>
      <c r="P118" s="10">
        <f t="shared" si="546"/>
        <v>32795476.61970444</v>
      </c>
      <c r="Q118" s="10">
        <f t="shared" si="546"/>
        <v>28747415.774919979</v>
      </c>
      <c r="R118" s="10">
        <f t="shared" si="546"/>
        <v>25199021.29550346</v>
      </c>
      <c r="S118" s="10">
        <f t="shared" si="546"/>
        <v>22088617.607333593</v>
      </c>
      <c r="T118" s="10">
        <f t="shared" si="546"/>
        <v>19362141.968984734</v>
      </c>
      <c r="U118" s="10">
        <f t="shared" si="546"/>
        <v>16972204.793053813</v>
      </c>
      <c r="V118" s="10">
        <f t="shared" si="546"/>
        <v>14877265.955325665</v>
      </c>
      <c r="W118" s="10">
        <f t="shared" si="546"/>
        <v>13040912.774990594</v>
      </c>
      <c r="X118" s="10">
        <f t="shared" si="546"/>
        <v>11431227.116299147</v>
      </c>
      <c r="Y118" s="10">
        <f t="shared" si="546"/>
        <v>10020230.611082142</v>
      </c>
      <c r="Z118" s="10">
        <f t="shared" si="546"/>
        <v>8783398.3594032265</v>
      </c>
      <c r="AA118" s="10">
        <f t="shared" si="546"/>
        <v>7699232.6558475904</v>
      </c>
      <c r="AB118" s="10">
        <f t="shared" si="546"/>
        <v>6748889.3322717864</v>
      </c>
      <c r="AC118" s="10">
        <f t="shared" si="546"/>
        <v>5915850.2223800765</v>
      </c>
      <c r="AD118" s="10">
        <f t="shared" si="546"/>
        <v>5185636.0551483138</v>
      </c>
      <c r="AE118" s="10">
        <f t="shared" si="546"/>
        <v>4545554.7868207172</v>
      </c>
      <c r="AF118" s="10">
        <f t="shared" si="546"/>
        <v>3984480.9971720595</v>
      </c>
      <c r="AG118" s="10">
        <f t="shared" si="546"/>
        <v>3492662.5156638823</v>
      </c>
      <c r="AH118" s="10">
        <f t="shared" si="546"/>
        <v>3061550.9164133156</v>
      </c>
      <c r="AI118" s="10">
        <f t="shared" si="546"/>
        <v>2683652.9357631286</v>
      </c>
      <c r="AJ118" s="10">
        <f t="shared" si="546"/>
        <v>2352400.2299028807</v>
      </c>
      <c r="AK118" s="10">
        <f t="shared" si="546"/>
        <v>2062035.2087642541</v>
      </c>
      <c r="AL118" s="10">
        <f t="shared" si="546"/>
        <v>1807510.9618395953</v>
      </c>
      <c r="AM118" s="10">
        <f t="shared" si="546"/>
        <v>1584403.5365080982</v>
      </c>
      <c r="AN118" s="10">
        <f t="shared" si="546"/>
        <v>1388835.0441562324</v>
      </c>
      <c r="AO118" s="10">
        <f t="shared" si="546"/>
        <v>1217406.2575797497</v>
      </c>
      <c r="AP118" s="10">
        <f t="shared" ref="AP118" si="547" xml:space="preserve"> AO118 + AP117 -AO121</f>
        <v>1067137.5281250537</v>
      </c>
      <c r="AQ118" s="10">
        <f t="shared" ref="AQ118" si="548" xml:space="preserve"> AP118 + AQ117 -AP121</f>
        <v>935416.99563528877</v>
      </c>
      <c r="AR118" s="10">
        <f t="shared" ref="AR118" si="549" xml:space="preserve"> AQ118 + AR117 -AQ121</f>
        <v>819955.19102464872</v>
      </c>
      <c r="AS118" s="10">
        <f t="shared" ref="AS118" si="550" xml:space="preserve"> AR118 + AS117 -AR121</f>
        <v>718745.24241635925</v>
      </c>
      <c r="AT118" s="10">
        <f t="shared" ref="AT118" si="551" xml:space="preserve"> AS118 + AT117 -AS121</f>
        <v>630027.99317679019</v>
      </c>
      <c r="AU118" s="10">
        <f t="shared" ref="AU118" si="552" xml:space="preserve"> AT118 + AU117 -AT121</f>
        <v>552261.42555310915</v>
      </c>
      <c r="AV118" s="10">
        <f t="shared" ref="AV118" si="553" xml:space="preserve"> AU118 + AV117 -AU121</f>
        <v>484093.8584587134</v>
      </c>
      <c r="AW118" s="10">
        <f t="shared" ref="AW118" si="554" xml:space="preserve"> AV118 + AW117 -AV121</f>
        <v>424340.45355012483</v>
      </c>
      <c r="AX118" s="10">
        <f t="shared" ref="AX118" si="555" xml:space="preserve"> AW118 + AX117 -AW121</f>
        <v>371962.62124131602</v>
      </c>
      <c r="AY118" s="10">
        <f t="shared" ref="AY118" si="556" xml:space="preserve"> AX118 + AY117 -AX121</f>
        <v>326049.9687060063</v>
      </c>
      <c r="AZ118" s="10">
        <f t="shared" ref="AZ118" si="557" xml:space="preserve"> AY118 + AZ117 -AY121</f>
        <v>285804.47610142652</v>
      </c>
      <c r="BA118" s="10">
        <f t="shared" ref="BA118" si="558" xml:space="preserve"> AZ118 + BA117 -AZ121</f>
        <v>250526.62597635193</v>
      </c>
      <c r="BB118" s="10">
        <f t="shared" ref="BB118" si="559" xml:space="preserve"> BA118 + BB117 -BA121</f>
        <v>219603.24477500955</v>
      </c>
      <c r="BC118" s="10">
        <f t="shared" ref="BC118" si="560" xml:space="preserve"> BB118 + BC117 -BB121</f>
        <v>192496.84510685477</v>
      </c>
      <c r="BD118" s="10">
        <f t="shared" ref="BD118" si="561" xml:space="preserve"> BC118 + BD117 -BC121</f>
        <v>168736.28353741535</v>
      </c>
      <c r="BE118" s="10">
        <f t="shared" ref="BE118" si="562" xml:space="preserve"> BD118 + BE117 -BD121</f>
        <v>147908.57152081787</v>
      </c>
      <c r="BF118" s="10">
        <f t="shared" ref="BF118" si="563" xml:space="preserve"> BE118 + BF117 -BE121</f>
        <v>129651.69713766946</v>
      </c>
      <c r="BG118" s="10">
        <f t="shared" ref="BG118:BH118" si="564" xml:space="preserve"> BF118 + BG117 -BF121</f>
        <v>113648.3328710402</v>
      </c>
      <c r="BH118" s="10">
        <f t="shared" si="564"/>
        <v>99620.320053752017</v>
      </c>
      <c r="BI118" s="10"/>
    </row>
    <row r="119" spans="1:61" x14ac:dyDescent="0.2">
      <c r="A119" t="s">
        <v>586</v>
      </c>
      <c r="B119" s="31"/>
      <c r="C119" s="83">
        <v>0.12</v>
      </c>
      <c r="D119" s="9">
        <f xml:space="preserve"> $C119</f>
        <v>0.12</v>
      </c>
      <c r="E119" s="9">
        <f t="shared" ref="E119:AP120" si="565" xml:space="preserve"> $C119</f>
        <v>0.12</v>
      </c>
      <c r="F119" s="9">
        <f t="shared" si="565"/>
        <v>0.12</v>
      </c>
      <c r="G119" s="9">
        <f t="shared" si="565"/>
        <v>0.12</v>
      </c>
      <c r="H119" s="9">
        <f t="shared" si="565"/>
        <v>0.12</v>
      </c>
      <c r="I119" s="9">
        <f t="shared" si="565"/>
        <v>0.12</v>
      </c>
      <c r="J119" s="9">
        <f t="shared" si="565"/>
        <v>0.12</v>
      </c>
      <c r="K119" s="9">
        <f t="shared" si="565"/>
        <v>0.12</v>
      </c>
      <c r="L119" s="9">
        <f t="shared" si="565"/>
        <v>0.12</v>
      </c>
      <c r="M119" s="9">
        <f t="shared" si="565"/>
        <v>0.12</v>
      </c>
      <c r="N119" s="9">
        <f t="shared" si="565"/>
        <v>0.12</v>
      </c>
      <c r="O119" s="9">
        <f t="shared" si="565"/>
        <v>0.12</v>
      </c>
      <c r="P119" s="9">
        <f t="shared" si="565"/>
        <v>0.12</v>
      </c>
      <c r="Q119" s="9">
        <f t="shared" si="565"/>
        <v>0.12</v>
      </c>
      <c r="R119" s="9">
        <f t="shared" si="565"/>
        <v>0.12</v>
      </c>
      <c r="S119" s="9">
        <f t="shared" si="565"/>
        <v>0.12</v>
      </c>
      <c r="T119" s="9">
        <f t="shared" si="565"/>
        <v>0.12</v>
      </c>
      <c r="U119" s="9">
        <f t="shared" si="565"/>
        <v>0.12</v>
      </c>
      <c r="V119" s="9">
        <f t="shared" si="565"/>
        <v>0.12</v>
      </c>
      <c r="W119" s="9">
        <f t="shared" si="565"/>
        <v>0.12</v>
      </c>
      <c r="X119" s="9">
        <f t="shared" si="565"/>
        <v>0.12</v>
      </c>
      <c r="Y119" s="9">
        <f t="shared" si="565"/>
        <v>0.12</v>
      </c>
      <c r="Z119" s="9">
        <f t="shared" si="565"/>
        <v>0.12</v>
      </c>
      <c r="AA119" s="9">
        <f t="shared" si="565"/>
        <v>0.12</v>
      </c>
      <c r="AB119" s="9">
        <f t="shared" si="565"/>
        <v>0.12</v>
      </c>
      <c r="AC119" s="9">
        <f t="shared" si="565"/>
        <v>0.12</v>
      </c>
      <c r="AD119" s="9">
        <f t="shared" si="565"/>
        <v>0.12</v>
      </c>
      <c r="AE119" s="9">
        <f t="shared" si="565"/>
        <v>0.12</v>
      </c>
      <c r="AF119" s="9">
        <f t="shared" si="565"/>
        <v>0.12</v>
      </c>
      <c r="AG119" s="9">
        <f t="shared" si="565"/>
        <v>0.12</v>
      </c>
      <c r="AH119" s="9">
        <f t="shared" si="565"/>
        <v>0.12</v>
      </c>
      <c r="AI119" s="9">
        <f t="shared" si="565"/>
        <v>0.12</v>
      </c>
      <c r="AJ119" s="9">
        <f t="shared" si="565"/>
        <v>0.12</v>
      </c>
      <c r="AK119" s="9">
        <f t="shared" si="565"/>
        <v>0.12</v>
      </c>
      <c r="AL119" s="9">
        <f t="shared" si="565"/>
        <v>0.12</v>
      </c>
      <c r="AM119" s="9">
        <f t="shared" si="565"/>
        <v>0.12</v>
      </c>
      <c r="AN119" s="9">
        <f t="shared" si="565"/>
        <v>0.12</v>
      </c>
      <c r="AO119" s="9">
        <f t="shared" si="565"/>
        <v>0.12</v>
      </c>
      <c r="AP119" s="9">
        <f t="shared" si="565"/>
        <v>0.12</v>
      </c>
      <c r="AQ119" s="9">
        <f t="shared" ref="AP119:BH120" si="566" xml:space="preserve"> $C119</f>
        <v>0.12</v>
      </c>
      <c r="AR119" s="9">
        <f t="shared" si="566"/>
        <v>0.12</v>
      </c>
      <c r="AS119" s="9">
        <f t="shared" si="566"/>
        <v>0.12</v>
      </c>
      <c r="AT119" s="9">
        <f t="shared" si="566"/>
        <v>0.12</v>
      </c>
      <c r="AU119" s="9">
        <f t="shared" si="566"/>
        <v>0.12</v>
      </c>
      <c r="AV119" s="9">
        <f t="shared" si="566"/>
        <v>0.12</v>
      </c>
      <c r="AW119" s="9">
        <f t="shared" si="566"/>
        <v>0.12</v>
      </c>
      <c r="AX119" s="9">
        <f t="shared" si="566"/>
        <v>0.12</v>
      </c>
      <c r="AY119" s="9">
        <f t="shared" si="566"/>
        <v>0.12</v>
      </c>
      <c r="AZ119" s="9">
        <f t="shared" si="566"/>
        <v>0.12</v>
      </c>
      <c r="BA119" s="9">
        <f t="shared" si="566"/>
        <v>0.12</v>
      </c>
      <c r="BB119" s="9">
        <f t="shared" si="566"/>
        <v>0.12</v>
      </c>
      <c r="BC119" s="9">
        <f t="shared" si="566"/>
        <v>0.12</v>
      </c>
      <c r="BD119" s="9">
        <f t="shared" si="566"/>
        <v>0.12</v>
      </c>
      <c r="BE119" s="9">
        <f t="shared" si="566"/>
        <v>0.12</v>
      </c>
      <c r="BF119" s="9">
        <f t="shared" si="566"/>
        <v>0.12</v>
      </c>
      <c r="BG119" s="9">
        <f t="shared" si="566"/>
        <v>0.12</v>
      </c>
      <c r="BH119" s="9">
        <f t="shared" si="566"/>
        <v>0.12</v>
      </c>
      <c r="BI119" s="10"/>
    </row>
    <row r="120" spans="1:61" x14ac:dyDescent="0.2">
      <c r="A120" t="s">
        <v>587</v>
      </c>
      <c r="B120" s="31"/>
      <c r="C120" s="84">
        <v>30</v>
      </c>
      <c r="D120" s="5">
        <f xml:space="preserve"> $C120</f>
        <v>30</v>
      </c>
      <c r="E120" s="5">
        <f t="shared" si="565"/>
        <v>30</v>
      </c>
      <c r="F120" s="5">
        <f t="shared" si="565"/>
        <v>30</v>
      </c>
      <c r="G120" s="5">
        <f t="shared" si="565"/>
        <v>30</v>
      </c>
      <c r="H120" s="5">
        <f t="shared" si="565"/>
        <v>30</v>
      </c>
      <c r="I120" s="5">
        <f t="shared" si="565"/>
        <v>30</v>
      </c>
      <c r="J120" s="5">
        <f t="shared" si="565"/>
        <v>30</v>
      </c>
      <c r="K120" s="5">
        <f t="shared" si="565"/>
        <v>30</v>
      </c>
      <c r="L120" s="5">
        <f t="shared" si="565"/>
        <v>30</v>
      </c>
      <c r="M120" s="5">
        <f t="shared" si="565"/>
        <v>30</v>
      </c>
      <c r="N120" s="5">
        <f t="shared" si="565"/>
        <v>30</v>
      </c>
      <c r="O120" s="5">
        <f t="shared" si="565"/>
        <v>30</v>
      </c>
      <c r="P120" s="5">
        <f t="shared" si="565"/>
        <v>30</v>
      </c>
      <c r="Q120" s="5">
        <f t="shared" si="565"/>
        <v>30</v>
      </c>
      <c r="R120" s="5">
        <f t="shared" si="565"/>
        <v>30</v>
      </c>
      <c r="S120" s="5">
        <f t="shared" si="565"/>
        <v>30</v>
      </c>
      <c r="T120" s="5">
        <f t="shared" si="565"/>
        <v>30</v>
      </c>
      <c r="U120" s="5">
        <f t="shared" si="565"/>
        <v>30</v>
      </c>
      <c r="V120" s="5">
        <f t="shared" si="565"/>
        <v>30</v>
      </c>
      <c r="W120" s="5">
        <f t="shared" si="565"/>
        <v>30</v>
      </c>
      <c r="X120" s="5">
        <f t="shared" si="565"/>
        <v>30</v>
      </c>
      <c r="Y120" s="5">
        <f t="shared" si="565"/>
        <v>30</v>
      </c>
      <c r="Z120" s="5">
        <f t="shared" si="565"/>
        <v>30</v>
      </c>
      <c r="AA120" s="5">
        <f t="shared" si="565"/>
        <v>30</v>
      </c>
      <c r="AB120" s="5">
        <f t="shared" si="565"/>
        <v>30</v>
      </c>
      <c r="AC120" s="5">
        <f t="shared" si="565"/>
        <v>30</v>
      </c>
      <c r="AD120" s="5">
        <f t="shared" si="565"/>
        <v>30</v>
      </c>
      <c r="AE120" s="5">
        <f t="shared" si="565"/>
        <v>30</v>
      </c>
      <c r="AF120" s="5">
        <f t="shared" si="565"/>
        <v>30</v>
      </c>
      <c r="AG120" s="5">
        <f t="shared" si="565"/>
        <v>30</v>
      </c>
      <c r="AH120" s="5">
        <f t="shared" si="565"/>
        <v>30</v>
      </c>
      <c r="AI120" s="5">
        <f t="shared" si="565"/>
        <v>30</v>
      </c>
      <c r="AJ120" s="5">
        <f t="shared" si="565"/>
        <v>30</v>
      </c>
      <c r="AK120" s="5">
        <f t="shared" si="565"/>
        <v>30</v>
      </c>
      <c r="AL120" s="5">
        <f t="shared" si="565"/>
        <v>30</v>
      </c>
      <c r="AM120" s="5">
        <f t="shared" si="565"/>
        <v>30</v>
      </c>
      <c r="AN120" s="5">
        <f t="shared" si="565"/>
        <v>30</v>
      </c>
      <c r="AO120" s="5">
        <f t="shared" si="565"/>
        <v>30</v>
      </c>
      <c r="AP120" s="5">
        <f t="shared" si="566"/>
        <v>30</v>
      </c>
      <c r="AQ120" s="5">
        <f t="shared" si="566"/>
        <v>30</v>
      </c>
      <c r="AR120" s="5">
        <f t="shared" si="566"/>
        <v>30</v>
      </c>
      <c r="AS120" s="5">
        <f t="shared" si="566"/>
        <v>30</v>
      </c>
      <c r="AT120" s="5">
        <f t="shared" si="566"/>
        <v>30</v>
      </c>
      <c r="AU120" s="5">
        <f t="shared" si="566"/>
        <v>30</v>
      </c>
      <c r="AV120" s="5">
        <f t="shared" si="566"/>
        <v>30</v>
      </c>
      <c r="AW120" s="5">
        <f t="shared" si="566"/>
        <v>30</v>
      </c>
      <c r="AX120" s="5">
        <f t="shared" si="566"/>
        <v>30</v>
      </c>
      <c r="AY120" s="5">
        <f t="shared" si="566"/>
        <v>30</v>
      </c>
      <c r="AZ120" s="5">
        <f t="shared" si="566"/>
        <v>30</v>
      </c>
      <c r="BA120" s="5">
        <f t="shared" si="566"/>
        <v>30</v>
      </c>
      <c r="BB120" s="5">
        <f t="shared" si="566"/>
        <v>30</v>
      </c>
      <c r="BC120" s="5">
        <f t="shared" si="566"/>
        <v>30</v>
      </c>
      <c r="BD120" s="5">
        <f t="shared" si="566"/>
        <v>30</v>
      </c>
      <c r="BE120" s="5">
        <f t="shared" si="566"/>
        <v>30</v>
      </c>
      <c r="BF120" s="5">
        <f t="shared" si="566"/>
        <v>30</v>
      </c>
      <c r="BG120" s="5">
        <f t="shared" si="566"/>
        <v>30</v>
      </c>
      <c r="BH120" s="5">
        <f t="shared" si="566"/>
        <v>30</v>
      </c>
      <c r="BI120" s="10"/>
    </row>
    <row r="121" spans="1:61" s="74" customFormat="1" x14ac:dyDescent="0.2">
      <c r="A121" s="74" t="s">
        <v>483</v>
      </c>
      <c r="B121" s="121"/>
      <c r="C121" s="85">
        <f xml:space="preserve"> 12 * (C119/12*C118)/(1-POWER(C119/12+1,-C120*12))</f>
        <v>2123046.847150872</v>
      </c>
      <c r="D121" s="85">
        <f t="shared" ref="D121:AM121" si="567" xml:space="preserve"> 12 * (D119/12*D118)/(1-POWER(D119/12+1,-D120*12))</f>
        <v>7028506.994280871</v>
      </c>
      <c r="E121" s="85">
        <f t="shared" si="567"/>
        <v>6160953.694453313</v>
      </c>
      <c r="F121" s="85">
        <f t="shared" si="567"/>
        <v>15114660.56280406</v>
      </c>
      <c r="G121" s="85">
        <f t="shared" si="567"/>
        <v>13249004.932425654</v>
      </c>
      <c r="H121" s="85">
        <f t="shared" si="567"/>
        <v>11613633.727999114</v>
      </c>
      <c r="I121" s="85">
        <f t="shared" si="567"/>
        <v>10180122.134155259</v>
      </c>
      <c r="J121" s="85">
        <f t="shared" si="567"/>
        <v>8923553.9103033878</v>
      </c>
      <c r="K121" s="85">
        <f t="shared" si="567"/>
        <v>7822088.3149255598</v>
      </c>
      <c r="L121" s="85">
        <f t="shared" si="567"/>
        <v>6856580.4859260144</v>
      </c>
      <c r="M121" s="85">
        <f t="shared" si="567"/>
        <v>6010248.6787671614</v>
      </c>
      <c r="N121" s="85">
        <f t="shared" si="567"/>
        <v>5268382.5785709899</v>
      </c>
      <c r="O121" s="85">
        <f t="shared" si="567"/>
        <v>4618087.6162820701</v>
      </c>
      <c r="P121" s="85">
        <f t="shared" si="567"/>
        <v>4048060.844784461</v>
      </c>
      <c r="Q121" s="85">
        <f t="shared" si="567"/>
        <v>3548394.4794165175</v>
      </c>
      <c r="R121" s="85">
        <f t="shared" si="567"/>
        <v>3110403.6881698682</v>
      </c>
      <c r="S121" s="85">
        <f t="shared" si="567"/>
        <v>2726475.6383488593</v>
      </c>
      <c r="T121" s="85">
        <f t="shared" si="567"/>
        <v>2389937.1759309224</v>
      </c>
      <c r="U121" s="85">
        <f t="shared" si="567"/>
        <v>2094938.8377281488</v>
      </c>
      <c r="V121" s="85">
        <f t="shared" si="567"/>
        <v>1836353.1803350709</v>
      </c>
      <c r="W121" s="85">
        <f t="shared" si="567"/>
        <v>1609685.6586914472</v>
      </c>
      <c r="X121" s="85">
        <f t="shared" si="567"/>
        <v>1410996.505217005</v>
      </c>
      <c r="Y121" s="85">
        <f t="shared" si="567"/>
        <v>1236832.2516789164</v>
      </c>
      <c r="Z121" s="85">
        <f t="shared" si="567"/>
        <v>1084165.7035556361</v>
      </c>
      <c r="AA121" s="85">
        <f t="shared" si="567"/>
        <v>950343.32357580448</v>
      </c>
      <c r="AB121" s="85">
        <f t="shared" si="567"/>
        <v>833039.10989170976</v>
      </c>
      <c r="AC121" s="85">
        <f t="shared" si="567"/>
        <v>730214.16723176313</v>
      </c>
      <c r="AD121" s="85">
        <f t="shared" si="567"/>
        <v>640081.26832759613</v>
      </c>
      <c r="AE121" s="85">
        <f t="shared" si="567"/>
        <v>561073.78964865778</v>
      </c>
      <c r="AF121" s="85">
        <f t="shared" si="567"/>
        <v>491818.48150817706</v>
      </c>
      <c r="AG121" s="85">
        <f t="shared" si="567"/>
        <v>431111.59925056691</v>
      </c>
      <c r="AH121" s="85">
        <f t="shared" si="567"/>
        <v>377897.980650187</v>
      </c>
      <c r="AI121" s="85">
        <f t="shared" si="567"/>
        <v>331252.70586024784</v>
      </c>
      <c r="AJ121" s="85">
        <f t="shared" si="567"/>
        <v>290365.02113862667</v>
      </c>
      <c r="AK121" s="85">
        <f t="shared" si="567"/>
        <v>254524.24692465886</v>
      </c>
      <c r="AL121" s="85">
        <f t="shared" si="567"/>
        <v>223107.42533149707</v>
      </c>
      <c r="AM121" s="85">
        <f t="shared" si="567"/>
        <v>195568.49235186575</v>
      </c>
      <c r="AN121" s="85">
        <f t="shared" ref="AN121:AP121" si="568" xml:space="preserve"> 12 * (AN119/12*AN118)/(1-POWER(AN119/12+1,-AN120*12))</f>
        <v>171428.78657648276</v>
      </c>
      <c r="AO121" s="85">
        <f t="shared" si="568"/>
        <v>150268.72945469589</v>
      </c>
      <c r="AP121" s="85">
        <f t="shared" si="568"/>
        <v>131720.532489765</v>
      </c>
      <c r="AQ121" s="85">
        <f t="shared" ref="AQ121:AS121" si="569" xml:space="preserve"> 12 * (AQ119/12*AQ118)/(1-POWER(AQ119/12+1,-AQ120*12))</f>
        <v>115461.80461064009</v>
      </c>
      <c r="AR121" s="85">
        <f t="shared" si="569"/>
        <v>101209.94860828943</v>
      </c>
      <c r="AS121" s="85">
        <f t="shared" si="569"/>
        <v>88717.249239569093</v>
      </c>
      <c r="AT121" s="85">
        <f t="shared" ref="AT121:AY121" si="570" xml:space="preserve"> 12 * (AT119/12*AT118)/(1-POWER(AT119/12+1,-AT120*12))</f>
        <v>77766.56762368104</v>
      </c>
      <c r="AU121" s="85">
        <f t="shared" si="570"/>
        <v>68167.567094395767</v>
      </c>
      <c r="AV121" s="85">
        <f t="shared" si="570"/>
        <v>59753.404908588564</v>
      </c>
      <c r="AW121" s="85">
        <f t="shared" si="570"/>
        <v>52377.832308808829</v>
      </c>
      <c r="AX121" s="85">
        <f t="shared" si="570"/>
        <v>45912.652535309739</v>
      </c>
      <c r="AY121" s="85">
        <f t="shared" si="570"/>
        <v>40245.492604579747</v>
      </c>
      <c r="AZ121" s="85">
        <f t="shared" ref="AZ121:BE121" si="571" xml:space="preserve"> 12 * (AZ119/12*AZ118)/(1-POWER(AZ119/12+1,-AZ120*12))</f>
        <v>35277.850125074583</v>
      </c>
      <c r="BA121" s="85">
        <f t="shared" si="571"/>
        <v>30923.381201342385</v>
      </c>
      <c r="BB121" s="85">
        <f t="shared" si="571"/>
        <v>27106.399668154769</v>
      </c>
      <c r="BC121" s="85">
        <f t="shared" si="571"/>
        <v>23760.561569439415</v>
      </c>
      <c r="BD121" s="85">
        <f t="shared" si="571"/>
        <v>20827.712016597485</v>
      </c>
      <c r="BE121" s="85">
        <f t="shared" si="571"/>
        <v>18256.874383148417</v>
      </c>
      <c r="BF121" s="85">
        <f t="shared" ref="BF121:BG121" si="572" xml:space="preserve"> 12 * (BF119/12*BF118)/(1-POWER(BF119/12+1,-BF120*12))</f>
        <v>16003.364266629258</v>
      </c>
      <c r="BG121" s="85">
        <f t="shared" si="572"/>
        <v>14028.012817288178</v>
      </c>
      <c r="BH121" s="85">
        <f t="shared" ref="BH121" si="573" xml:space="preserve"> 12 * (BH119/12*BH118)/(1-POWER(BH119/12+1,-BH120*12))</f>
        <v>12296.485934044769</v>
      </c>
      <c r="BI121" s="75"/>
    </row>
    <row r="122" spans="1:61" s="72" customFormat="1" x14ac:dyDescent="0.2">
      <c r="A122" s="72" t="s">
        <v>484</v>
      </c>
      <c r="B122" s="128"/>
      <c r="C122" s="172">
        <f xml:space="preserve"> C103-C114-C121</f>
        <v>-4541630.0471508726</v>
      </c>
      <c r="D122" s="172">
        <f xml:space="preserve"> D103-D114-D121</f>
        <v>-9495461.8582808711</v>
      </c>
      <c r="E122" s="172">
        <f t="shared" ref="E122:AM122" si="574" xml:space="preserve"> E103-E114-E121</f>
        <v>150927547.82178581</v>
      </c>
      <c r="F122" s="172">
        <f t="shared" si="574"/>
        <v>146893119.51607123</v>
      </c>
      <c r="G122" s="172">
        <f t="shared" si="574"/>
        <v>317010763.06013459</v>
      </c>
      <c r="H122" s="172">
        <f t="shared" si="574"/>
        <v>389769857.42428607</v>
      </c>
      <c r="I122" s="172">
        <f t="shared" si="574"/>
        <v>378676883.60872054</v>
      </c>
      <c r="J122" s="172">
        <f t="shared" si="574"/>
        <v>364598733.0409885</v>
      </c>
      <c r="K122" s="172">
        <f t="shared" si="574"/>
        <v>349392832.90352452</v>
      </c>
      <c r="L122" s="172">
        <f t="shared" si="574"/>
        <v>333067947.89570469</v>
      </c>
      <c r="M122" s="172">
        <f t="shared" si="574"/>
        <v>341222961.92783695</v>
      </c>
      <c r="N122" s="172">
        <f t="shared" si="574"/>
        <v>349206928.82071853</v>
      </c>
      <c r="O122" s="172">
        <f t="shared" si="574"/>
        <v>357024963.14702731</v>
      </c>
      <c r="P122" s="172">
        <f t="shared" si="574"/>
        <v>364683461.90825695</v>
      </c>
      <c r="Q122" s="172">
        <f t="shared" si="574"/>
        <v>372194918.5537827</v>
      </c>
      <c r="R122" s="172">
        <f t="shared" si="574"/>
        <v>379561820.24289703</v>
      </c>
      <c r="S122" s="172">
        <f t="shared" si="574"/>
        <v>386792099.71369606</v>
      </c>
      <c r="T122" s="172">
        <f t="shared" si="574"/>
        <v>393880721.80718094</v>
      </c>
      <c r="U122" s="172">
        <f t="shared" si="574"/>
        <v>400839779.03262097</v>
      </c>
      <c r="V122" s="172">
        <f t="shared" si="574"/>
        <v>407665918.41600418</v>
      </c>
      <c r="W122" s="172">
        <f t="shared" si="574"/>
        <v>414364121.38941765</v>
      </c>
      <c r="X122" s="172">
        <f t="shared" si="574"/>
        <v>420929957.49537206</v>
      </c>
      <c r="Y122" s="172">
        <f t="shared" si="574"/>
        <v>427371733.164689</v>
      </c>
      <c r="Z122" s="172">
        <f t="shared" si="574"/>
        <v>433687356.73688173</v>
      </c>
      <c r="AA122" s="172">
        <f t="shared" si="574"/>
        <v>439936354.46590859</v>
      </c>
      <c r="AB122" s="172">
        <f t="shared" si="574"/>
        <v>446038563.94483316</v>
      </c>
      <c r="AC122" s="172">
        <f t="shared" si="574"/>
        <v>452003816.80199295</v>
      </c>
      <c r="AD122" s="172">
        <f t="shared" si="574"/>
        <v>457805322.56699657</v>
      </c>
      <c r="AE122" s="172">
        <f t="shared" si="574"/>
        <v>463389017.0231986</v>
      </c>
      <c r="AF122" s="172">
        <f t="shared" si="574"/>
        <v>468836892.12804031</v>
      </c>
      <c r="AG122" s="172">
        <f t="shared" si="574"/>
        <v>474145243.61518425</v>
      </c>
      <c r="AH122" s="172">
        <f t="shared" si="574"/>
        <v>479313832.45673263</v>
      </c>
      <c r="AI122" s="172">
        <f t="shared" si="574"/>
        <v>484339810.05068767</v>
      </c>
      <c r="AJ122" s="172">
        <f t="shared" si="574"/>
        <v>489220304.53780311</v>
      </c>
      <c r="AK122" s="172">
        <f t="shared" si="574"/>
        <v>493953481.68457222</v>
      </c>
      <c r="AL122" s="172">
        <f t="shared" si="574"/>
        <v>498536439.13800222</v>
      </c>
      <c r="AM122" s="172">
        <f t="shared" si="574"/>
        <v>544790502.386994</v>
      </c>
      <c r="AN122" s="172">
        <f t="shared" ref="AN122:AP122" si="575" xml:space="preserve"> AN103-AN114-AN121</f>
        <v>524949447.71344846</v>
      </c>
      <c r="AO122" s="172">
        <f t="shared" si="575"/>
        <v>482776629.97297239</v>
      </c>
      <c r="AP122" s="172">
        <f t="shared" si="575"/>
        <v>487990832.70716286</v>
      </c>
      <c r="AQ122" s="172">
        <f t="shared" ref="AQ122:AS122" si="576" xml:space="preserve"> AQ103-AQ114-AQ121</f>
        <v>493117105.95309949</v>
      </c>
      <c r="AR122" s="172">
        <f t="shared" si="576"/>
        <v>498153270.31670135</v>
      </c>
      <c r="AS122" s="172">
        <f t="shared" si="576"/>
        <v>503097061.87151635</v>
      </c>
      <c r="AT122" s="172">
        <f t="shared" ref="AT122:AY122" si="577" xml:space="preserve"> AT103-AT114-AT121</f>
        <v>507946135.47175783</v>
      </c>
      <c r="AU122" s="172">
        <f t="shared" si="577"/>
        <v>512698067.50453824</v>
      </c>
      <c r="AV122" s="172">
        <f t="shared" si="577"/>
        <v>517350358.16110247</v>
      </c>
      <c r="AW122" s="172">
        <f t="shared" si="577"/>
        <v>521900726.88929218</v>
      </c>
      <c r="AX122" s="172">
        <f t="shared" si="577"/>
        <v>526346237.91276765</v>
      </c>
      <c r="AY122" s="172">
        <f t="shared" si="577"/>
        <v>530684173.09319788</v>
      </c>
      <c r="AZ122" s="172">
        <f t="shared" ref="AZ122:BE122" si="578" xml:space="preserve"> AZ103-AZ114-AZ121</f>
        <v>534912058.33472574</v>
      </c>
      <c r="BA122" s="172">
        <f t="shared" si="578"/>
        <v>539026372.1786114</v>
      </c>
      <c r="BB122" s="172">
        <f t="shared" si="578"/>
        <v>543024535.92261577</v>
      </c>
      <c r="BC122" s="172">
        <f t="shared" si="578"/>
        <v>546903893.09354711</v>
      </c>
      <c r="BD122" s="172">
        <f t="shared" si="578"/>
        <v>550662561.66436064</v>
      </c>
      <c r="BE122" s="172">
        <f t="shared" si="578"/>
        <v>554296095.7320857</v>
      </c>
      <c r="BF122" s="172">
        <f t="shared" ref="BF122:BG122" si="579" xml:space="preserve"> BF103-BF114-BF121</f>
        <v>557801295.98179412</v>
      </c>
      <c r="BG122" s="172">
        <f t="shared" si="579"/>
        <v>561174892.64558995</v>
      </c>
      <c r="BH122" s="172">
        <f t="shared" ref="BH122" si="580" xml:space="preserve"> BH103-BH114-BH121</f>
        <v>564413544.88351464</v>
      </c>
      <c r="BI122" s="73"/>
    </row>
    <row r="123" spans="1:61" hidden="1" x14ac:dyDescent="0.2">
      <c r="A123" t="s">
        <v>457</v>
      </c>
      <c r="C123" s="9">
        <f>(C103-C108-C111)/MAX($C112:$AM112)</f>
        <v>-4.6508170966627828E-2</v>
      </c>
      <c r="D123" s="9">
        <f t="shared" ref="D123:AM123" si="581">(D103-D108)/MAX($C112:$AM112)</f>
        <v>-4.6508170966627828E-2</v>
      </c>
      <c r="E123" s="9">
        <f t="shared" si="581"/>
        <v>3.1116143307167765</v>
      </c>
      <c r="F123" s="9">
        <f t="shared" si="581"/>
        <v>3.2186716413040974</v>
      </c>
      <c r="G123" s="9">
        <f t="shared" si="581"/>
        <v>6.6910312886761512</v>
      </c>
      <c r="H123" s="9">
        <f t="shared" si="581"/>
        <v>8.2520450075134129</v>
      </c>
      <c r="I123" s="9">
        <f t="shared" si="581"/>
        <v>8.1294385817090742</v>
      </c>
      <c r="J123" s="9">
        <f t="shared" si="581"/>
        <v>7.975690430657016</v>
      </c>
      <c r="K123" s="9">
        <f t="shared" si="581"/>
        <v>7.8232537164184643</v>
      </c>
      <c r="L123" s="9">
        <f t="shared" si="581"/>
        <v>7.6724191253683278</v>
      </c>
      <c r="M123" s="9">
        <f t="shared" si="581"/>
        <v>7.9271846513656552</v>
      </c>
      <c r="N123" s="9">
        <f t="shared" si="581"/>
        <v>8.1827619374211338</v>
      </c>
      <c r="O123" s="9">
        <f t="shared" si="581"/>
        <v>8.4390605994068544</v>
      </c>
      <c r="P123" s="9">
        <f t="shared" si="581"/>
        <v>8.696040498015952</v>
      </c>
      <c r="Q123" s="9">
        <f t="shared" si="581"/>
        <v>8.9537744603759357</v>
      </c>
      <c r="R123" s="9">
        <f t="shared" si="581"/>
        <v>9.2122048383959072</v>
      </c>
      <c r="S123" s="9">
        <f t="shared" si="581"/>
        <v>9.4713703659719126</v>
      </c>
      <c r="T123" s="9">
        <f t="shared" si="581"/>
        <v>9.7311422521394739</v>
      </c>
      <c r="U123" s="9">
        <f t="shared" si="581"/>
        <v>9.9916441072691455</v>
      </c>
      <c r="V123" s="9">
        <f t="shared" si="581"/>
        <v>10.252796405753477</v>
      </c>
      <c r="W123" s="9">
        <f t="shared" si="581"/>
        <v>10.514642527347076</v>
      </c>
      <c r="X123" s="9">
        <f t="shared" si="581"/>
        <v>10.777110884019191</v>
      </c>
      <c r="Y123" s="9">
        <f t="shared" si="581"/>
        <v>11.040300686050273</v>
      </c>
      <c r="Z123" s="9">
        <f t="shared" si="581"/>
        <v>11.30418263541193</v>
      </c>
      <c r="AA123" s="9">
        <f t="shared" si="581"/>
        <v>11.569471514456671</v>
      </c>
      <c r="AB123" s="9">
        <f t="shared" si="581"/>
        <v>11.835193311283561</v>
      </c>
      <c r="AC123" s="9">
        <f t="shared" si="581"/>
        <v>12.101486910050665</v>
      </c>
      <c r="AD123" s="9">
        <f t="shared" si="581"/>
        <v>12.368071853006485</v>
      </c>
      <c r="AE123" s="9">
        <f t="shared" si="581"/>
        <v>12.63439186142333</v>
      </c>
      <c r="AF123" s="9">
        <f t="shared" si="581"/>
        <v>12.901411281532537</v>
      </c>
      <c r="AG123" s="9">
        <f t="shared" si="581"/>
        <v>13.169113798810999</v>
      </c>
      <c r="AH123" s="9">
        <f t="shared" si="581"/>
        <v>13.437522726271549</v>
      </c>
      <c r="AI123" s="9">
        <f t="shared" si="581"/>
        <v>13.706635024041718</v>
      </c>
      <c r="AJ123" s="9">
        <f t="shared" si="581"/>
        <v>13.976449521961001</v>
      </c>
      <c r="AK123" s="9">
        <f t="shared" si="581"/>
        <v>14.246977029323595</v>
      </c>
      <c r="AL123" s="9">
        <f t="shared" si="581"/>
        <v>14.51821881391264</v>
      </c>
      <c r="AM123" s="9">
        <f t="shared" si="581"/>
        <v>15.184444068018113</v>
      </c>
      <c r="AN123" s="9">
        <f t="shared" ref="AN123:AP123" si="582">(AN103-AN108)/MAX($C112:$AM112)</f>
        <v>14.239405354465497</v>
      </c>
      <c r="AO123" s="9">
        <f t="shared" si="582"/>
        <v>12.705944034801171</v>
      </c>
      <c r="AP123" s="9">
        <f t="shared" si="582"/>
        <v>12.928112464068843</v>
      </c>
      <c r="AQ123" s="9">
        <f t="shared" ref="AQ123:AS123" si="583">(AQ103-AQ108)/MAX($C112:$AM112)</f>
        <v>13.15101094882241</v>
      </c>
      <c r="AR123" s="9">
        <f t="shared" si="583"/>
        <v>13.374639525794425</v>
      </c>
      <c r="AS123" s="9">
        <f t="shared" si="583"/>
        <v>13.598998227902941</v>
      </c>
      <c r="AT123" s="9">
        <f t="shared" ref="AT123:AY123" si="584">(AT103-AT108)/MAX($C112:$AM112)</f>
        <v>13.824087084513815</v>
      </c>
      <c r="AU123" s="9">
        <f t="shared" si="584"/>
        <v>14.049906121613921</v>
      </c>
      <c r="AV123" s="9">
        <f t="shared" si="584"/>
        <v>14.276455362021267</v>
      </c>
      <c r="AW123" s="9">
        <f t="shared" si="584"/>
        <v>14.50373709613935</v>
      </c>
      <c r="AX123" s="9">
        <f t="shared" si="584"/>
        <v>14.73174901850207</v>
      </c>
      <c r="AY123" s="9">
        <f t="shared" si="584"/>
        <v>14.960491149072778</v>
      </c>
      <c r="AZ123" s="9">
        <f t="shared" ref="AZ123:BE123" si="585">(AZ103-AZ108)/MAX($C112:$AM112)</f>
        <v>15.189965800303126</v>
      </c>
      <c r="BA123" s="9">
        <f t="shared" si="585"/>
        <v>15.420168122054879</v>
      </c>
      <c r="BB123" s="9">
        <f t="shared" si="585"/>
        <v>15.651100731806148</v>
      </c>
      <c r="BC123" s="9">
        <f t="shared" si="585"/>
        <v>15.882765992305425</v>
      </c>
      <c r="BD123" s="9">
        <f t="shared" si="585"/>
        <v>16.115171764403769</v>
      </c>
      <c r="BE123" s="9">
        <f t="shared" si="585"/>
        <v>16.348308826748873</v>
      </c>
      <c r="BF123" s="9">
        <f t="shared" ref="BF123:BG123" si="586">(BF103-BF108)/MAX($C112:$AM112)</f>
        <v>16.582177179340746</v>
      </c>
      <c r="BG123" s="9">
        <f t="shared" si="586"/>
        <v>16.816776822179406</v>
      </c>
      <c r="BH123" s="9">
        <f t="shared" ref="BH123" si="587">(BH103-BH108)/MAX($C112:$AM112)</f>
        <v>17.052107755264828</v>
      </c>
      <c r="BI123" s="9"/>
    </row>
    <row r="124" spans="1:61" hidden="1" x14ac:dyDescent="0.2">
      <c r="A124" t="s">
        <v>462</v>
      </c>
      <c r="C124" s="10" t="e">
        <f>SUM(C37,C58,C20,#REF!,#REF!,#REF!)</f>
        <v>#REF!</v>
      </c>
      <c r="D124" s="10" t="e">
        <f>SUM(D37,D58,D20,#REF!,#REF!,#REF!)</f>
        <v>#REF!</v>
      </c>
      <c r="E124" s="10" t="e">
        <f>SUM(E37,E58,E20,#REF!,#REF!,#REF!)</f>
        <v>#REF!</v>
      </c>
      <c r="F124" s="10" t="e">
        <f>SUM(F37,F58,F20,#REF!,#REF!,#REF!)</f>
        <v>#REF!</v>
      </c>
      <c r="G124" s="10" t="e">
        <f>SUM(G37,G58,G20,#REF!,#REF!,#REF!)</f>
        <v>#REF!</v>
      </c>
      <c r="H124" s="10" t="e">
        <f>SUM(H37,H58,H20,#REF!,#REF!,#REF!)</f>
        <v>#REF!</v>
      </c>
      <c r="I124" s="10" t="e">
        <f>SUM(I37,I58,I20,#REF!,#REF!,#REF!)</f>
        <v>#REF!</v>
      </c>
      <c r="J124" s="10" t="e">
        <f>SUM(J37,J58,J20,#REF!,#REF!,#REF!)</f>
        <v>#REF!</v>
      </c>
      <c r="K124" s="10" t="e">
        <f>SUM(K37,K58,K20,#REF!,#REF!,#REF!)</f>
        <v>#REF!</v>
      </c>
      <c r="L124" s="10" t="e">
        <f>SUM(L37,L58,L20,#REF!,#REF!,#REF!)</f>
        <v>#REF!</v>
      </c>
      <c r="M124" s="10" t="e">
        <f>SUM(M37,M58,M20,#REF!,#REF!,#REF!)</f>
        <v>#REF!</v>
      </c>
      <c r="N124" s="10" t="e">
        <f>SUM(N37,N58,N20,#REF!,#REF!,#REF!)</f>
        <v>#REF!</v>
      </c>
      <c r="O124" s="10" t="e">
        <f>SUM(O37,O58,O20,#REF!,#REF!,#REF!)</f>
        <v>#REF!</v>
      </c>
      <c r="P124" s="10" t="e">
        <f>SUM(P37,P58,P20,#REF!,#REF!,#REF!)</f>
        <v>#REF!</v>
      </c>
      <c r="Q124" s="10" t="e">
        <f>SUM(Q37,Q58,Q20,#REF!,#REF!,#REF!)</f>
        <v>#REF!</v>
      </c>
      <c r="R124" s="10" t="e">
        <f>SUM(R37,R58,R20,#REF!,#REF!,#REF!)</f>
        <v>#REF!</v>
      </c>
      <c r="S124" s="10" t="e">
        <f>SUM(S37,S58,S20,#REF!,#REF!,#REF!)</f>
        <v>#REF!</v>
      </c>
      <c r="T124" s="10" t="e">
        <f>SUM(T37,T58,T20,#REF!,#REF!,#REF!)</f>
        <v>#REF!</v>
      </c>
      <c r="U124" s="10" t="e">
        <f>SUM(U37,U58,U20,#REF!,#REF!,#REF!)</f>
        <v>#REF!</v>
      </c>
      <c r="V124" s="10" t="e">
        <f>SUM(V37,V58,V20,#REF!,#REF!,#REF!)</f>
        <v>#REF!</v>
      </c>
      <c r="W124" s="10" t="e">
        <f>SUM(W37,W58,W20,#REF!,#REF!,#REF!)</f>
        <v>#REF!</v>
      </c>
      <c r="X124" s="10" t="e">
        <f>SUM(X37,X58,X20,#REF!,#REF!,#REF!)</f>
        <v>#REF!</v>
      </c>
      <c r="Y124" s="10" t="e">
        <f>SUM(Y37,Y58,Y20,#REF!,#REF!,#REF!)</f>
        <v>#REF!</v>
      </c>
      <c r="Z124" s="10" t="e">
        <f>SUM(Z37,Z58,Z20,#REF!,#REF!,#REF!)</f>
        <v>#REF!</v>
      </c>
      <c r="AA124" s="10" t="e">
        <f>SUM(AA37,AA58,AA20,#REF!,#REF!,#REF!)</f>
        <v>#REF!</v>
      </c>
      <c r="AB124" s="10" t="e">
        <f>SUM(AB37,AB58,AB20,#REF!,#REF!,#REF!)</f>
        <v>#REF!</v>
      </c>
      <c r="AC124" s="10" t="e">
        <f>SUM(AC37,AC58,AC20,#REF!,#REF!,#REF!)</f>
        <v>#REF!</v>
      </c>
      <c r="AD124" s="10" t="e">
        <f>SUM(AD37,AD58,AD20,#REF!,#REF!,#REF!)</f>
        <v>#REF!</v>
      </c>
      <c r="AE124" s="10" t="e">
        <f>SUM(AE37,AE58,AE20,#REF!,#REF!,#REF!)</f>
        <v>#REF!</v>
      </c>
      <c r="AF124" s="10" t="e">
        <f>SUM(AF37,AF58,AF20,#REF!,#REF!,#REF!)</f>
        <v>#REF!</v>
      </c>
      <c r="AG124" s="10" t="e">
        <f>SUM(AG37,AG58,AG20,#REF!,#REF!,#REF!)</f>
        <v>#REF!</v>
      </c>
      <c r="AH124" s="10" t="e">
        <f>SUM(AH37,AH58,AH20,#REF!,#REF!,#REF!)</f>
        <v>#REF!</v>
      </c>
      <c r="AI124" s="10" t="e">
        <f>SUM(AI37,AI58,AI20,#REF!,#REF!,#REF!)</f>
        <v>#REF!</v>
      </c>
      <c r="AJ124" s="10" t="e">
        <f>SUM(AJ37,AJ58,AJ20,#REF!,#REF!,#REF!)</f>
        <v>#REF!</v>
      </c>
      <c r="AK124" s="10" t="e">
        <f>SUM(AK37,AK58,AK20,#REF!,#REF!,#REF!)</f>
        <v>#REF!</v>
      </c>
      <c r="AL124" s="10" t="e">
        <f>SUM(AL37,AL58,AL20,#REF!,#REF!,#REF!)</f>
        <v>#REF!</v>
      </c>
      <c r="AM124" s="10" t="e">
        <f>SUM(AM37,AM58,AM20,#REF!,#REF!,#REF!)</f>
        <v>#REF!</v>
      </c>
      <c r="AN124" s="10" t="e">
        <f>SUM(AN37,AN58,AN20,#REF!,#REF!,#REF!)</f>
        <v>#REF!</v>
      </c>
      <c r="AO124" s="10" t="e">
        <f>SUM(AO37,AO58,AO20,#REF!,#REF!,#REF!)</f>
        <v>#REF!</v>
      </c>
      <c r="AP124" s="10" t="e">
        <f>SUM(AP37,AP58,AP20,#REF!,#REF!,#REF!)</f>
        <v>#REF!</v>
      </c>
      <c r="AQ124" s="10" t="e">
        <f>SUM(AQ37,AQ58,AQ20,#REF!,#REF!,#REF!)</f>
        <v>#REF!</v>
      </c>
      <c r="AR124" s="10" t="e">
        <f>SUM(AR37,AR58,AR20,#REF!,#REF!,#REF!)</f>
        <v>#REF!</v>
      </c>
      <c r="AS124" s="10" t="e">
        <f>SUM(AS37,AS58,AS20,#REF!,#REF!,#REF!)</f>
        <v>#REF!</v>
      </c>
      <c r="AT124" s="10" t="e">
        <f>SUM(AT37,AT58,AT20,#REF!,#REF!,#REF!)</f>
        <v>#REF!</v>
      </c>
      <c r="AU124" s="10" t="e">
        <f>SUM(AU37,AU58,AU20,#REF!,#REF!,#REF!)</f>
        <v>#REF!</v>
      </c>
      <c r="AV124" s="10" t="e">
        <f>SUM(AV37,AV58,AV20,#REF!,#REF!,#REF!)</f>
        <v>#REF!</v>
      </c>
      <c r="AW124" s="10" t="e">
        <f>SUM(AW37,AW58,AW20,#REF!,#REF!,#REF!)</f>
        <v>#REF!</v>
      </c>
      <c r="AX124" s="10" t="e">
        <f>SUM(AX37,AX58,AX20,#REF!,#REF!,#REF!)</f>
        <v>#REF!</v>
      </c>
      <c r="AY124" s="10" t="e">
        <f>SUM(AY37,AY58,AY20,#REF!,#REF!,#REF!)</f>
        <v>#REF!</v>
      </c>
      <c r="AZ124" s="10" t="e">
        <f>SUM(AZ37,AZ58,AZ20,#REF!,#REF!,#REF!)</f>
        <v>#REF!</v>
      </c>
      <c r="BA124" s="10" t="e">
        <f>SUM(BA37,BA58,BA20,#REF!,#REF!,#REF!)</f>
        <v>#REF!</v>
      </c>
      <c r="BB124" s="10" t="e">
        <f>SUM(BB37,BB58,BB20,#REF!,#REF!,#REF!)</f>
        <v>#REF!</v>
      </c>
      <c r="BC124" s="10" t="e">
        <f>SUM(BC37,BC58,BC20,#REF!,#REF!,#REF!)</f>
        <v>#REF!</v>
      </c>
      <c r="BD124" s="10" t="e">
        <f>SUM(BD37,BD58,BD20,#REF!,#REF!,#REF!)</f>
        <v>#REF!</v>
      </c>
      <c r="BE124" s="10" t="e">
        <f>SUM(BE37,BE58,BE20,#REF!,#REF!,#REF!)</f>
        <v>#REF!</v>
      </c>
      <c r="BF124" s="10" t="e">
        <f>SUM(BF37,BF58,BF20,#REF!,#REF!,#REF!)</f>
        <v>#REF!</v>
      </c>
      <c r="BG124" s="10" t="e">
        <f>SUM(BG37,BG58,BG20,#REF!,#REF!,#REF!)</f>
        <v>#REF!</v>
      </c>
      <c r="BH124" s="10" t="e">
        <f>SUM(BH37,BH58,BH20,#REF!,#REF!,#REF!)</f>
        <v>#REF!</v>
      </c>
      <c r="BI124" s="10"/>
    </row>
    <row r="125" spans="1:61" x14ac:dyDescent="0.2">
      <c r="A125" t="s">
        <v>515</v>
      </c>
      <c r="C125" s="40">
        <f xml:space="preserve"> C103-C106-C114+C118-C121</f>
        <v>-280197.99641267816</v>
      </c>
      <c r="D125" s="40">
        <f xml:space="preserve"> D103-D106-D114+D118-D121</f>
        <v>12533879.576571014</v>
      </c>
      <c r="E125" s="40">
        <f xml:space="preserve"> E103-E106-E114+E118-E121</f>
        <v>170650070.31331319</v>
      </c>
      <c r="F125" s="40">
        <f xml:space="preserve"> F103-F106-F114+F118-F121</f>
        <v>37069628.177210212</v>
      </c>
      <c r="G125" s="40">
        <f xml:space="preserve"> G103-G106-G114+G118-G121</f>
        <v>191394294.25871402</v>
      </c>
      <c r="H125" s="40">
        <f t="shared" ref="H125:AM125" si="588" xml:space="preserve"> H103-H106-H114+H118-H121</f>
        <v>299640987.30303794</v>
      </c>
      <c r="I125" s="40">
        <f t="shared" si="588"/>
        <v>257828270.57142508</v>
      </c>
      <c r="J125" s="40">
        <f t="shared" si="588"/>
        <v>208416229.8683739</v>
      </c>
      <c r="K125" s="40">
        <f t="shared" si="588"/>
        <v>189430602.13636601</v>
      </c>
      <c r="L125" s="40">
        <f t="shared" si="588"/>
        <v>301535772.18451053</v>
      </c>
      <c r="M125" s="40">
        <f t="shared" si="588"/>
        <v>301708319.66798919</v>
      </c>
      <c r="N125" s="40">
        <f t="shared" si="588"/>
        <v>302542930.97233945</v>
      </c>
      <c r="O125" s="40">
        <f t="shared" si="588"/>
        <v>303927653.90318799</v>
      </c>
      <c r="P125" s="40">
        <f t="shared" si="588"/>
        <v>305799489.45693421</v>
      </c>
      <c r="Q125" s="40">
        <f t="shared" si="588"/>
        <v>308072505.89016151</v>
      </c>
      <c r="R125" s="40">
        <f t="shared" si="588"/>
        <v>310690961.89421231</v>
      </c>
      <c r="S125" s="40">
        <f t="shared" si="588"/>
        <v>313557946.89609468</v>
      </c>
      <c r="T125" s="40">
        <f t="shared" si="588"/>
        <v>316654261.96957844</v>
      </c>
      <c r="U125" s="40">
        <f t="shared" si="588"/>
        <v>319916778.81616104</v>
      </c>
      <c r="V125" s="40">
        <f t="shared" si="588"/>
        <v>323314385.28794867</v>
      </c>
      <c r="W125" s="40">
        <f t="shared" si="588"/>
        <v>326788784.30840617</v>
      </c>
      <c r="X125" s="40">
        <f t="shared" si="588"/>
        <v>330338024.56966782</v>
      </c>
      <c r="Y125" s="40">
        <f t="shared" si="588"/>
        <v>333931049.35810757</v>
      </c>
      <c r="Z125" s="40">
        <f t="shared" si="588"/>
        <v>337816206.41674495</v>
      </c>
      <c r="AA125" s="40">
        <f t="shared" si="588"/>
        <v>341663557.06696343</v>
      </c>
      <c r="AB125" s="40">
        <f t="shared" si="588"/>
        <v>345423048.85683572</v>
      </c>
      <c r="AC125" s="40">
        <f t="shared" si="588"/>
        <v>349059379.54623532</v>
      </c>
      <c r="AD125" s="40">
        <f t="shared" si="588"/>
        <v>352558873.10220724</v>
      </c>
      <c r="AE125" s="40">
        <f t="shared" si="588"/>
        <v>355864760.68417126</v>
      </c>
      <c r="AF125" s="40">
        <f t="shared" si="588"/>
        <v>359020643.07313937</v>
      </c>
      <c r="AG125" s="40">
        <f t="shared" si="588"/>
        <v>362044009.5608303</v>
      </c>
      <c r="AH125" s="40">
        <f t="shared" si="588"/>
        <v>364918802.73925686</v>
      </c>
      <c r="AI125" s="40">
        <f t="shared" si="588"/>
        <v>367629899.55221605</v>
      </c>
      <c r="AJ125" s="40">
        <f t="shared" si="588"/>
        <v>370182157.83463818</v>
      </c>
      <c r="AK125" s="40">
        <f t="shared" si="588"/>
        <v>321414271.95296115</v>
      </c>
      <c r="AL125" s="40">
        <f t="shared" si="588"/>
        <v>135770594.54101509</v>
      </c>
      <c r="AM125" s="40">
        <f t="shared" si="588"/>
        <v>234659402.27657178</v>
      </c>
      <c r="AN125" s="40">
        <f t="shared" ref="AN125:AP125" si="589" xml:space="preserve"> AN103-AN106-AN114+AN118-AN121</f>
        <v>224584416.6491797</v>
      </c>
      <c r="AO125" s="40">
        <f t="shared" si="589"/>
        <v>414893656.5703575</v>
      </c>
      <c r="AP125" s="40">
        <f t="shared" si="589"/>
        <v>418574648.51147187</v>
      </c>
      <c r="AQ125" s="40">
        <f t="shared" ref="AQ125:AS125" si="590" xml:space="preserve"> AQ103-AQ106-AQ114+AQ118-AQ121</f>
        <v>422156360.60184765</v>
      </c>
      <c r="AR125" s="40">
        <f t="shared" si="590"/>
        <v>425633699.03959054</v>
      </c>
      <c r="AS125" s="40">
        <f t="shared" si="590"/>
        <v>429001749.79960728</v>
      </c>
      <c r="AT125" s="40">
        <f t="shared" ref="AT125:AY125" si="591" xml:space="preserve"> AT103-AT106-AT114+AT118-AT121</f>
        <v>432255746.56957597</v>
      </c>
      <c r="AU125" s="40">
        <f t="shared" si="591"/>
        <v>435391042.50501424</v>
      </c>
      <c r="AV125" s="40">
        <f t="shared" si="591"/>
        <v>438407732.77158952</v>
      </c>
      <c r="AW125" s="40">
        <f t="shared" si="591"/>
        <v>441297060.91761082</v>
      </c>
      <c r="AX125" s="40">
        <f t="shared" si="591"/>
        <v>444054321.87398231</v>
      </c>
      <c r="AY125" s="40">
        <f t="shared" si="591"/>
        <v>446680121.1133433</v>
      </c>
      <c r="AZ125" s="40">
        <f t="shared" ref="AZ125:BE125" si="592" xml:space="preserve"> AZ103-AZ106-AZ114+AZ118-AZ121</f>
        <v>449159934.38018954</v>
      </c>
      <c r="BA125" s="40">
        <f t="shared" si="592"/>
        <v>451494297.89694989</v>
      </c>
      <c r="BB125" s="40">
        <f t="shared" si="592"/>
        <v>453684630.14079666</v>
      </c>
      <c r="BC125" s="40">
        <f t="shared" si="592"/>
        <v>455745690.73152792</v>
      </c>
      <c r="BD125" s="40">
        <f t="shared" si="592"/>
        <v>457653584.75662959</v>
      </c>
      <c r="BE125" s="40">
        <f t="shared" si="592"/>
        <v>459402736.84851259</v>
      </c>
      <c r="BF125" s="40">
        <f t="shared" ref="BF125:BG125" si="593" xml:space="preserve"> BF103-BF106-BF114+BF118-BF121</f>
        <v>460988854.87473595</v>
      </c>
      <c r="BG125" s="40">
        <f t="shared" si="593"/>
        <v>462407606.3181814</v>
      </c>
      <c r="BH125" s="40">
        <f t="shared" ref="BH125" si="594" xml:space="preserve"> BH103-BH106-BH114+BH118-BH121</f>
        <v>564513165.20356834</v>
      </c>
    </row>
    <row r="126" spans="1:61" s="74" customFormat="1" x14ac:dyDescent="0.2">
      <c r="A126" s="74" t="s">
        <v>579</v>
      </c>
      <c r="C126" s="75">
        <f t="shared" ref="C126:AH126" si="595" xml:space="preserve"> SUM(C20,C37,C58)</f>
        <v>0</v>
      </c>
      <c r="D126" s="75">
        <f t="shared" si="595"/>
        <v>0</v>
      </c>
      <c r="E126" s="75">
        <f t="shared" si="595"/>
        <v>2228964.7171515003</v>
      </c>
      <c r="F126" s="75">
        <f t="shared" si="595"/>
        <v>2228964.7171515003</v>
      </c>
      <c r="G126" s="75">
        <f t="shared" si="595"/>
        <v>19265847.878636248</v>
      </c>
      <c r="H126" s="75">
        <f t="shared" si="595"/>
        <v>31224729.030090749</v>
      </c>
      <c r="I126" s="75">
        <f t="shared" si="595"/>
        <v>38831037.030090749</v>
      </c>
      <c r="J126" s="75">
        <f t="shared" si="595"/>
        <v>46437345.030090749</v>
      </c>
      <c r="K126" s="75">
        <f t="shared" si="595"/>
        <v>54043653.030090749</v>
      </c>
      <c r="L126" s="75">
        <f t="shared" si="595"/>
        <v>61649961.030090749</v>
      </c>
      <c r="M126" s="75">
        <f t="shared" si="595"/>
        <v>61649961.030090749</v>
      </c>
      <c r="N126" s="75">
        <f t="shared" si="595"/>
        <v>61649961.030090749</v>
      </c>
      <c r="O126" s="75">
        <f t="shared" si="595"/>
        <v>61649961.030090749</v>
      </c>
      <c r="P126" s="75">
        <f t="shared" si="595"/>
        <v>61649961.030090749</v>
      </c>
      <c r="Q126" s="75">
        <f t="shared" si="595"/>
        <v>61649961.030090749</v>
      </c>
      <c r="R126" s="75">
        <f t="shared" si="595"/>
        <v>61649961.030090749</v>
      </c>
      <c r="S126" s="75">
        <f t="shared" si="595"/>
        <v>61649961.030090749</v>
      </c>
      <c r="T126" s="75">
        <f t="shared" si="595"/>
        <v>61649961.030090749</v>
      </c>
      <c r="U126" s="75">
        <f t="shared" si="595"/>
        <v>61649961.030090749</v>
      </c>
      <c r="V126" s="75">
        <f t="shared" si="595"/>
        <v>61649961.030090749</v>
      </c>
      <c r="W126" s="75">
        <f t="shared" si="595"/>
        <v>61649961.030090749</v>
      </c>
      <c r="X126" s="75">
        <f t="shared" si="595"/>
        <v>61649961.030090749</v>
      </c>
      <c r="Y126" s="75">
        <f t="shared" si="595"/>
        <v>61649961.030090749</v>
      </c>
      <c r="Z126" s="75">
        <f t="shared" si="595"/>
        <v>61649961.030090749</v>
      </c>
      <c r="AA126" s="75">
        <f t="shared" si="595"/>
        <v>61649961.030090749</v>
      </c>
      <c r="AB126" s="75">
        <f t="shared" si="595"/>
        <v>61649961.030090749</v>
      </c>
      <c r="AC126" s="75">
        <f t="shared" si="595"/>
        <v>61649961.030090749</v>
      </c>
      <c r="AD126" s="75">
        <f t="shared" si="595"/>
        <v>61649961.030090749</v>
      </c>
      <c r="AE126" s="75">
        <f t="shared" si="595"/>
        <v>61649961.030090749</v>
      </c>
      <c r="AF126" s="75">
        <f t="shared" si="595"/>
        <v>61649961.030090749</v>
      </c>
      <c r="AG126" s="75">
        <f t="shared" si="595"/>
        <v>61649961.030090749</v>
      </c>
      <c r="AH126" s="75">
        <f t="shared" si="595"/>
        <v>61649961.030090749</v>
      </c>
      <c r="AI126" s="75">
        <f t="shared" ref="AI126:BH126" si="596" xml:space="preserve"> SUM(AI20,AI37,AI58)</f>
        <v>61649961.030090749</v>
      </c>
      <c r="AJ126" s="75">
        <f t="shared" si="596"/>
        <v>61649961.030090749</v>
      </c>
      <c r="AK126" s="75">
        <f t="shared" si="596"/>
        <v>61649961.030090749</v>
      </c>
      <c r="AL126" s="75">
        <f t="shared" si="596"/>
        <v>61649961.030090749</v>
      </c>
      <c r="AM126" s="75">
        <f t="shared" si="596"/>
        <v>54043653.030090749</v>
      </c>
      <c r="AN126" s="75">
        <f t="shared" si="596"/>
        <v>44261058.454363503</v>
      </c>
      <c r="AO126" s="75">
        <f t="shared" si="596"/>
        <v>33753035.020060502</v>
      </c>
      <c r="AP126" s="75">
        <f t="shared" si="596"/>
        <v>33753035.020060502</v>
      </c>
      <c r="AQ126" s="75">
        <f t="shared" si="596"/>
        <v>33753035.020060502</v>
      </c>
      <c r="AR126" s="75">
        <f t="shared" si="596"/>
        <v>33753035.020060502</v>
      </c>
      <c r="AS126" s="75">
        <f t="shared" si="596"/>
        <v>33753035.020060502</v>
      </c>
      <c r="AT126" s="75">
        <f t="shared" si="596"/>
        <v>33753035.020060502</v>
      </c>
      <c r="AU126" s="75">
        <f t="shared" si="596"/>
        <v>33753035.020060502</v>
      </c>
      <c r="AV126" s="75">
        <f t="shared" si="596"/>
        <v>33753035.020060502</v>
      </c>
      <c r="AW126" s="75">
        <f t="shared" si="596"/>
        <v>33753035.020060502</v>
      </c>
      <c r="AX126" s="75">
        <f t="shared" si="596"/>
        <v>33753035.020060502</v>
      </c>
      <c r="AY126" s="75">
        <f t="shared" si="596"/>
        <v>33753035.020060502</v>
      </c>
      <c r="AZ126" s="75">
        <f t="shared" si="596"/>
        <v>33753035.020060502</v>
      </c>
      <c r="BA126" s="75">
        <f t="shared" si="596"/>
        <v>33753035.020060502</v>
      </c>
      <c r="BB126" s="75">
        <f t="shared" si="596"/>
        <v>33753035.020060502</v>
      </c>
      <c r="BC126" s="75">
        <f t="shared" si="596"/>
        <v>33753035.020060502</v>
      </c>
      <c r="BD126" s="75">
        <f t="shared" si="596"/>
        <v>33753035.020060502</v>
      </c>
      <c r="BE126" s="75">
        <f t="shared" si="596"/>
        <v>33753035.020060502</v>
      </c>
      <c r="BF126" s="75">
        <f t="shared" si="596"/>
        <v>33753035.020060502</v>
      </c>
      <c r="BG126" s="75">
        <f t="shared" si="596"/>
        <v>33753035.020060502</v>
      </c>
      <c r="BH126" s="75">
        <f t="shared" si="596"/>
        <v>33753035.020060502</v>
      </c>
    </row>
    <row r="130" spans="13:60" x14ac:dyDescent="0.2">
      <c r="M130" s="92">
        <f t="shared" ref="M130:BG130" si="597" xml:space="preserve"> IF(M$60 &lt;=300000, M$60, 300000 * (1 - (M$1 - $C$1)/($BH$1 - $M$1)/2))</f>
        <v>127695.46698904618</v>
      </c>
      <c r="N130" s="92">
        <f t="shared" si="597"/>
        <v>127695.46698904618</v>
      </c>
      <c r="O130" s="92">
        <f t="shared" si="597"/>
        <v>127695.46698904618</v>
      </c>
      <c r="P130" s="92">
        <f t="shared" si="597"/>
        <v>127695.46698904618</v>
      </c>
      <c r="Q130" s="92">
        <f t="shared" si="597"/>
        <v>127695.46698904618</v>
      </c>
      <c r="R130" s="92">
        <f t="shared" si="597"/>
        <v>127695.46698904618</v>
      </c>
      <c r="S130" s="92">
        <f t="shared" si="597"/>
        <v>127695.46698904618</v>
      </c>
      <c r="T130" s="92">
        <f t="shared" si="597"/>
        <v>127695.46698904618</v>
      </c>
      <c r="U130" s="92">
        <f t="shared" si="597"/>
        <v>127695.46698904618</v>
      </c>
      <c r="V130" s="92">
        <f t="shared" si="597"/>
        <v>127695.46698904618</v>
      </c>
      <c r="W130" s="92">
        <f t="shared" si="597"/>
        <v>127695.46698904618</v>
      </c>
      <c r="X130" s="92">
        <f t="shared" si="597"/>
        <v>127695.46698904618</v>
      </c>
      <c r="Y130" s="92">
        <f t="shared" si="597"/>
        <v>127695.46698904618</v>
      </c>
      <c r="Z130" s="92">
        <f t="shared" si="597"/>
        <v>127695.46698904618</v>
      </c>
      <c r="AA130" s="92">
        <f t="shared" si="597"/>
        <v>127695.46698904618</v>
      </c>
      <c r="AB130" s="92">
        <f t="shared" si="597"/>
        <v>127695.46698904618</v>
      </c>
      <c r="AC130" s="92">
        <f t="shared" si="597"/>
        <v>127695.46698904618</v>
      </c>
      <c r="AD130" s="92">
        <f t="shared" si="597"/>
        <v>127695.46698904618</v>
      </c>
      <c r="AE130" s="92">
        <f t="shared" si="597"/>
        <v>127695.46698904618</v>
      </c>
      <c r="AF130" s="92">
        <f t="shared" si="597"/>
        <v>127695.46698904618</v>
      </c>
      <c r="AG130" s="92">
        <f t="shared" si="597"/>
        <v>127695.46698904618</v>
      </c>
      <c r="AH130" s="92">
        <f t="shared" si="597"/>
        <v>127695.46698904618</v>
      </c>
      <c r="AI130" s="92">
        <f t="shared" si="597"/>
        <v>127695.46698904618</v>
      </c>
      <c r="AJ130" s="92">
        <f t="shared" si="597"/>
        <v>127695.46698904618</v>
      </c>
      <c r="AK130" s="92">
        <f t="shared" si="597"/>
        <v>127695.46698904618</v>
      </c>
      <c r="AL130" s="92">
        <f t="shared" si="597"/>
        <v>127695.46698904618</v>
      </c>
      <c r="AM130" s="92">
        <f t="shared" si="597"/>
        <v>106412.88915753848</v>
      </c>
      <c r="AN130" s="92">
        <f t="shared" si="597"/>
        <v>85130.311326030787</v>
      </c>
      <c r="AO130" s="92">
        <f t="shared" si="597"/>
        <v>63847.73349452309</v>
      </c>
      <c r="AP130" s="92">
        <f t="shared" si="597"/>
        <v>63847.73349452309</v>
      </c>
      <c r="AQ130" s="92">
        <f t="shared" si="597"/>
        <v>63847.73349452309</v>
      </c>
      <c r="AR130" s="92">
        <f t="shared" si="597"/>
        <v>63847.73349452309</v>
      </c>
      <c r="AS130" s="92">
        <f t="shared" si="597"/>
        <v>63847.73349452309</v>
      </c>
      <c r="AT130" s="92">
        <f t="shared" si="597"/>
        <v>63847.73349452309</v>
      </c>
      <c r="AU130" s="92">
        <f t="shared" si="597"/>
        <v>63847.73349452309</v>
      </c>
      <c r="AV130" s="92">
        <f t="shared" si="597"/>
        <v>63847.73349452309</v>
      </c>
      <c r="AW130" s="92">
        <f t="shared" si="597"/>
        <v>63847.73349452309</v>
      </c>
      <c r="AX130" s="92">
        <f t="shared" si="597"/>
        <v>63847.73349452309</v>
      </c>
      <c r="AY130" s="92">
        <f t="shared" si="597"/>
        <v>63847.73349452309</v>
      </c>
      <c r="AZ130" s="92">
        <f t="shared" si="597"/>
        <v>63847.73349452309</v>
      </c>
      <c r="BA130" s="92">
        <f t="shared" si="597"/>
        <v>63847.73349452309</v>
      </c>
      <c r="BB130" s="92">
        <f t="shared" si="597"/>
        <v>63847.73349452309</v>
      </c>
      <c r="BC130" s="92">
        <f t="shared" si="597"/>
        <v>63847.73349452309</v>
      </c>
      <c r="BD130" s="92">
        <f t="shared" si="597"/>
        <v>63847.73349452309</v>
      </c>
      <c r="BE130" s="92">
        <f t="shared" si="597"/>
        <v>63847.73349452309</v>
      </c>
      <c r="BF130" s="92">
        <f t="shared" si="597"/>
        <v>63847.73349452309</v>
      </c>
      <c r="BG130" s="92">
        <f t="shared" si="597"/>
        <v>63847.73349452309</v>
      </c>
      <c r="BH130" s="92">
        <f xml:space="preserve"> IF(BH125 &lt;=300000, BH125, 300000 * (1 - (BH94 - $C94)/($BH94 - $M94)/2))</f>
        <v>421588.60091647098</v>
      </c>
    </row>
  </sheetData>
  <sheetProtection selectLockedCells="1" selectUnlockedCells="1"/>
  <dataConsolidate/>
  <printOptions gridLines="1"/>
  <pageMargins left="0.78749999999999998" right="0.78749999999999998" top="1.0527777777777778" bottom="1.0527777777777778" header="0.78749999999999998" footer="0.78749999999999998"/>
  <pageSetup scale="37" firstPageNumber="0" fitToWidth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6.5703125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6.140625" customWidth="1"/>
  </cols>
  <sheetData>
    <row r="1" spans="1:8" s="1" customFormat="1" x14ac:dyDescent="0.2">
      <c r="A1" s="1" t="s">
        <v>271</v>
      </c>
      <c r="B1" s="1" t="s">
        <v>311</v>
      </c>
      <c r="C1" s="1" t="s">
        <v>272</v>
      </c>
      <c r="D1" s="1" t="s">
        <v>272</v>
      </c>
      <c r="E1" s="1" t="s">
        <v>312</v>
      </c>
      <c r="F1" s="1" t="s">
        <v>237</v>
      </c>
      <c r="G1" s="1" t="s">
        <v>107</v>
      </c>
      <c r="H1" s="1" t="s">
        <v>106</v>
      </c>
    </row>
    <row r="2" spans="1:8" s="1" customFormat="1" x14ac:dyDescent="0.2">
      <c r="A2" s="1" t="s">
        <v>541</v>
      </c>
      <c r="B2" s="45" t="s">
        <v>273</v>
      </c>
      <c r="E2" s="45" t="s">
        <v>274</v>
      </c>
      <c r="F2" s="45"/>
      <c r="G2" s="45"/>
    </row>
    <row r="3" spans="1:8" x14ac:dyDescent="0.2">
      <c r="A3" t="s">
        <v>275</v>
      </c>
      <c r="B3">
        <v>698</v>
      </c>
      <c r="C3" t="s">
        <v>276</v>
      </c>
      <c r="D3" t="s">
        <v>277</v>
      </c>
      <c r="E3" s="5">
        <f>B3*0.245</f>
        <v>171.01</v>
      </c>
      <c r="F3" s="10">
        <v>1600</v>
      </c>
      <c r="G3" s="30" t="s">
        <v>278</v>
      </c>
      <c r="H3" s="30">
        <f t="shared" ref="H3:H16" si="0">E3*F3</f>
        <v>273616</v>
      </c>
    </row>
    <row r="4" spans="1:8" x14ac:dyDescent="0.2">
      <c r="A4" t="s">
        <v>279</v>
      </c>
      <c r="B4">
        <v>140</v>
      </c>
      <c r="C4" t="s">
        <v>276</v>
      </c>
      <c r="D4" t="s">
        <v>277</v>
      </c>
      <c r="E4" s="5">
        <f>B4*0.245</f>
        <v>34.299999999999997</v>
      </c>
      <c r="F4" s="10">
        <v>1600</v>
      </c>
      <c r="G4" s="30" t="s">
        <v>278</v>
      </c>
      <c r="H4" s="30">
        <f t="shared" si="0"/>
        <v>54879.999999999993</v>
      </c>
    </row>
    <row r="5" spans="1:8" x14ac:dyDescent="0.2">
      <c r="A5" t="s">
        <v>280</v>
      </c>
      <c r="B5">
        <v>24</v>
      </c>
      <c r="C5" t="s">
        <v>276</v>
      </c>
      <c r="D5" t="s">
        <v>277</v>
      </c>
      <c r="E5" s="5">
        <f>B5*0.245</f>
        <v>5.88</v>
      </c>
      <c r="F5" s="10">
        <v>1600</v>
      </c>
      <c r="G5" s="30" t="s">
        <v>278</v>
      </c>
      <c r="H5" s="30">
        <f t="shared" si="0"/>
        <v>9408</v>
      </c>
    </row>
    <row r="6" spans="1:8" x14ac:dyDescent="0.2">
      <c r="A6" t="s">
        <v>281</v>
      </c>
      <c r="B6">
        <v>8</v>
      </c>
      <c r="C6" t="s">
        <v>276</v>
      </c>
      <c r="D6" t="s">
        <v>277</v>
      </c>
      <c r="E6" s="5">
        <f>B6*0.245</f>
        <v>1.96</v>
      </c>
      <c r="F6" s="10">
        <v>1600</v>
      </c>
      <c r="G6" s="30" t="s">
        <v>278</v>
      </c>
      <c r="H6" s="30">
        <f t="shared" si="0"/>
        <v>3136</v>
      </c>
    </row>
    <row r="7" spans="1:8" x14ac:dyDescent="0.2">
      <c r="A7" t="s">
        <v>282</v>
      </c>
      <c r="B7">
        <v>116.3</v>
      </c>
      <c r="C7" t="s">
        <v>264</v>
      </c>
      <c r="D7" t="s">
        <v>264</v>
      </c>
      <c r="E7" s="5">
        <f t="shared" ref="E7:E14" si="1">B7*0.25</f>
        <v>29.074999999999999</v>
      </c>
      <c r="F7" s="10">
        <v>4420</v>
      </c>
      <c r="G7" s="30" t="s">
        <v>278</v>
      </c>
      <c r="H7" s="30">
        <f t="shared" si="0"/>
        <v>128511.5</v>
      </c>
    </row>
    <row r="8" spans="1:8" x14ac:dyDescent="0.2">
      <c r="A8" t="s">
        <v>283</v>
      </c>
      <c r="B8">
        <v>4</v>
      </c>
      <c r="C8" t="s">
        <v>264</v>
      </c>
      <c r="D8" t="s">
        <v>264</v>
      </c>
      <c r="E8" s="11">
        <f t="shared" si="1"/>
        <v>1</v>
      </c>
      <c r="F8" s="10">
        <v>4420</v>
      </c>
      <c r="G8" s="30" t="s">
        <v>278</v>
      </c>
      <c r="H8" s="30">
        <f t="shared" si="0"/>
        <v>4420</v>
      </c>
    </row>
    <row r="9" spans="1:8" x14ac:dyDescent="0.2">
      <c r="A9" t="s">
        <v>284</v>
      </c>
      <c r="B9">
        <v>2</v>
      </c>
      <c r="C9" t="s">
        <v>264</v>
      </c>
      <c r="D9" t="s">
        <v>264</v>
      </c>
      <c r="E9" s="11">
        <f t="shared" si="1"/>
        <v>0.5</v>
      </c>
      <c r="F9" s="10">
        <v>4420</v>
      </c>
      <c r="G9" s="30" t="s">
        <v>278</v>
      </c>
      <c r="H9" s="30">
        <f t="shared" si="0"/>
        <v>2210</v>
      </c>
    </row>
    <row r="10" spans="1:8" x14ac:dyDescent="0.2">
      <c r="A10" t="s">
        <v>285</v>
      </c>
      <c r="B10">
        <v>1</v>
      </c>
      <c r="C10" t="s">
        <v>264</v>
      </c>
      <c r="D10" t="s">
        <v>264</v>
      </c>
      <c r="E10" s="11">
        <f t="shared" si="1"/>
        <v>0.25</v>
      </c>
      <c r="F10" s="10">
        <v>4420</v>
      </c>
      <c r="G10" s="30" t="s">
        <v>278</v>
      </c>
      <c r="H10" s="30">
        <f t="shared" si="0"/>
        <v>1105</v>
      </c>
    </row>
    <row r="11" spans="1:8" x14ac:dyDescent="0.2">
      <c r="A11" t="s">
        <v>286</v>
      </c>
      <c r="B11" s="5">
        <v>1433</v>
      </c>
      <c r="C11" t="s">
        <v>264</v>
      </c>
      <c r="D11" t="s">
        <v>264</v>
      </c>
      <c r="E11" s="5">
        <f t="shared" si="1"/>
        <v>358.25</v>
      </c>
      <c r="F11" s="10">
        <v>4420</v>
      </c>
      <c r="G11" s="30" t="s">
        <v>278</v>
      </c>
      <c r="H11" s="30">
        <f t="shared" si="0"/>
        <v>1583465</v>
      </c>
    </row>
    <row r="12" spans="1:8" x14ac:dyDescent="0.2">
      <c r="A12" t="s">
        <v>287</v>
      </c>
      <c r="B12" s="5">
        <v>147</v>
      </c>
      <c r="C12" t="s">
        <v>264</v>
      </c>
      <c r="D12" t="s">
        <v>264</v>
      </c>
      <c r="E12" s="5">
        <f t="shared" si="1"/>
        <v>36.75</v>
      </c>
      <c r="F12" s="10">
        <v>4420</v>
      </c>
      <c r="G12" s="30" t="s">
        <v>278</v>
      </c>
      <c r="H12" s="30">
        <f t="shared" si="0"/>
        <v>162435</v>
      </c>
    </row>
    <row r="13" spans="1:8" x14ac:dyDescent="0.2">
      <c r="A13" t="s">
        <v>288</v>
      </c>
      <c r="B13" s="5">
        <v>110</v>
      </c>
      <c r="C13" t="s">
        <v>264</v>
      </c>
      <c r="D13" t="s">
        <v>264</v>
      </c>
      <c r="E13" s="5">
        <f t="shared" si="1"/>
        <v>27.5</v>
      </c>
      <c r="F13" s="10">
        <v>4420</v>
      </c>
      <c r="G13" s="30" t="s">
        <v>278</v>
      </c>
      <c r="H13" s="30">
        <f t="shared" si="0"/>
        <v>121550</v>
      </c>
    </row>
    <row r="14" spans="1:8" x14ac:dyDescent="0.2">
      <c r="A14" t="s">
        <v>289</v>
      </c>
      <c r="B14" s="5">
        <v>2160</v>
      </c>
      <c r="C14" t="s">
        <v>264</v>
      </c>
      <c r="D14" t="s">
        <v>264</v>
      </c>
      <c r="E14" s="5">
        <f t="shared" si="1"/>
        <v>540</v>
      </c>
      <c r="F14" s="10">
        <v>4420</v>
      </c>
      <c r="G14" s="30" t="s">
        <v>278</v>
      </c>
      <c r="H14" s="30">
        <f t="shared" si="0"/>
        <v>2386800</v>
      </c>
    </row>
    <row r="15" spans="1:8" x14ac:dyDescent="0.2">
      <c r="A15" t="s">
        <v>290</v>
      </c>
      <c r="B15" s="5">
        <v>1320</v>
      </c>
      <c r="C15" t="s">
        <v>291</v>
      </c>
      <c r="D15" t="s">
        <v>292</v>
      </c>
      <c r="E15" s="5">
        <f>B15*0.251</f>
        <v>331.32</v>
      </c>
      <c r="F15" s="10">
        <v>3454</v>
      </c>
      <c r="G15" s="30" t="s">
        <v>278</v>
      </c>
      <c r="H15" s="30">
        <f t="shared" si="0"/>
        <v>1144379.28</v>
      </c>
    </row>
    <row r="16" spans="1:8" x14ac:dyDescent="0.2">
      <c r="A16" t="s">
        <v>293</v>
      </c>
      <c r="B16" s="5">
        <v>360</v>
      </c>
      <c r="C16" t="s">
        <v>294</v>
      </c>
      <c r="D16" t="s">
        <v>264</v>
      </c>
      <c r="E16" s="5">
        <v>3</v>
      </c>
      <c r="F16" s="10">
        <v>21600</v>
      </c>
      <c r="G16" s="30" t="s">
        <v>278</v>
      </c>
      <c r="H16" s="30">
        <f t="shared" si="0"/>
        <v>64800</v>
      </c>
    </row>
    <row r="17" spans="1:11" x14ac:dyDescent="0.2">
      <c r="B17" s="46" t="s">
        <v>252</v>
      </c>
      <c r="E17" s="5"/>
      <c r="F17" s="10"/>
      <c r="G17" s="30"/>
      <c r="H17" s="30"/>
    </row>
    <row r="18" spans="1:11" x14ac:dyDescent="0.2">
      <c r="A18" t="s">
        <v>295</v>
      </c>
      <c r="B18" s="5">
        <v>1860</v>
      </c>
      <c r="C18" t="s">
        <v>296</v>
      </c>
      <c r="D18" t="s">
        <v>297</v>
      </c>
      <c r="E18" s="5">
        <f>B18*45/2000</f>
        <v>41.85</v>
      </c>
      <c r="F18" s="10">
        <v>1540</v>
      </c>
      <c r="G18" s="30" t="s">
        <v>278</v>
      </c>
      <c r="H18" s="30">
        <f>E18*F18</f>
        <v>64449</v>
      </c>
    </row>
    <row r="19" spans="1:11" x14ac:dyDescent="0.2">
      <c r="A19" t="s">
        <v>282</v>
      </c>
      <c r="B19" s="5">
        <v>192</v>
      </c>
      <c r="C19" t="s">
        <v>296</v>
      </c>
      <c r="D19" t="s">
        <v>297</v>
      </c>
      <c r="E19" s="5">
        <f>B19*45/2000</f>
        <v>4.32</v>
      </c>
      <c r="F19" s="10">
        <v>1540</v>
      </c>
      <c r="G19" s="30" t="s">
        <v>278</v>
      </c>
      <c r="H19" s="30">
        <f>E19*F19</f>
        <v>6652.8</v>
      </c>
    </row>
    <row r="20" spans="1:11" x14ac:dyDescent="0.2">
      <c r="A20" t="s">
        <v>282</v>
      </c>
      <c r="B20" s="5">
        <v>384</v>
      </c>
      <c r="C20" t="s">
        <v>296</v>
      </c>
      <c r="D20" t="s">
        <v>297</v>
      </c>
      <c r="E20" s="5">
        <f>B20*45/2000</f>
        <v>8.64</v>
      </c>
      <c r="F20" s="10">
        <v>1540</v>
      </c>
      <c r="G20" s="30" t="s">
        <v>278</v>
      </c>
      <c r="H20" s="30">
        <f>E20*F20</f>
        <v>13305.6</v>
      </c>
    </row>
    <row r="22" spans="1:11" x14ac:dyDescent="0.2">
      <c r="A22" t="s">
        <v>298</v>
      </c>
      <c r="B22">
        <v>15</v>
      </c>
      <c r="C22" t="s">
        <v>264</v>
      </c>
      <c r="D22" t="s">
        <v>299</v>
      </c>
      <c r="F22" s="2">
        <v>477528.75</v>
      </c>
      <c r="G22" s="30" t="s">
        <v>170</v>
      </c>
      <c r="H22" s="2">
        <f>B22*F22</f>
        <v>7162931.25</v>
      </c>
      <c r="K22" s="30"/>
    </row>
    <row r="23" spans="1:11" x14ac:dyDescent="0.2">
      <c r="A23" t="s">
        <v>300</v>
      </c>
      <c r="B23">
        <v>15</v>
      </c>
      <c r="C23" t="s">
        <v>264</v>
      </c>
      <c r="D23" t="s">
        <v>264</v>
      </c>
      <c r="E23" s="5">
        <f>B23</f>
        <v>15</v>
      </c>
      <c r="F23" s="10">
        <v>2666.67</v>
      </c>
      <c r="G23" s="30" t="s">
        <v>170</v>
      </c>
      <c r="H23" s="30">
        <f>E23*F23</f>
        <v>40000.050000000003</v>
      </c>
    </row>
    <row r="24" spans="1:11" x14ac:dyDescent="0.2">
      <c r="A24" t="s">
        <v>301</v>
      </c>
      <c r="C24" t="s">
        <v>302</v>
      </c>
      <c r="D24" t="s">
        <v>303</v>
      </c>
      <c r="H24" s="30">
        <v>40000</v>
      </c>
    </row>
    <row r="25" spans="1:11" x14ac:dyDescent="0.2">
      <c r="A25" t="s">
        <v>304</v>
      </c>
      <c r="B25" s="5">
        <v>6664</v>
      </c>
      <c r="C25" t="s">
        <v>305</v>
      </c>
      <c r="D25" t="s">
        <v>292</v>
      </c>
      <c r="E25" s="5">
        <f>B25</f>
        <v>6664</v>
      </c>
      <c r="F25" s="10">
        <v>10</v>
      </c>
      <c r="G25" s="30" t="s">
        <v>170</v>
      </c>
      <c r="H25" s="30">
        <f>E25*F25</f>
        <v>66640</v>
      </c>
    </row>
    <row r="26" spans="1:11" x14ac:dyDescent="0.2">
      <c r="A26" t="s">
        <v>306</v>
      </c>
      <c r="B26">
        <v>680</v>
      </c>
      <c r="E26" s="5">
        <f>B26</f>
        <v>680</v>
      </c>
      <c r="F26" s="10">
        <v>100</v>
      </c>
      <c r="G26" s="30" t="s">
        <v>170</v>
      </c>
      <c r="H26" s="30">
        <f>E26*F26</f>
        <v>68000</v>
      </c>
    </row>
    <row r="27" spans="1:11" x14ac:dyDescent="0.2">
      <c r="H27" s="30"/>
    </row>
    <row r="28" spans="1:11" s="1" customFormat="1" x14ac:dyDescent="0.2">
      <c r="A28" s="1" t="s">
        <v>307</v>
      </c>
      <c r="E28" s="13">
        <f>SUM(E3:E20)</f>
        <v>1595.6049999999998</v>
      </c>
      <c r="H28" s="28">
        <f>SUM(H3:H26)</f>
        <v>13402694.48</v>
      </c>
    </row>
    <row r="30" spans="1:11" x14ac:dyDescent="0.2">
      <c r="A30" t="s">
        <v>209</v>
      </c>
      <c r="B30">
        <v>31</v>
      </c>
      <c r="C30" t="s">
        <v>264</v>
      </c>
      <c r="D30" t="s">
        <v>264</v>
      </c>
      <c r="E30">
        <v>8</v>
      </c>
      <c r="F30" s="10">
        <v>4420</v>
      </c>
      <c r="G30" s="30" t="s">
        <v>278</v>
      </c>
      <c r="H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313</v>
      </c>
      <c r="B1" s="1" t="s">
        <v>244</v>
      </c>
      <c r="C1" s="1" t="s">
        <v>107</v>
      </c>
    </row>
    <row r="2" spans="1:8" x14ac:dyDescent="0.2">
      <c r="C2" s="43"/>
      <c r="D2" s="43"/>
    </row>
    <row r="3" spans="1:8" x14ac:dyDescent="0.2">
      <c r="A3" t="s">
        <v>314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315</v>
      </c>
      <c r="B4" s="5">
        <v>30</v>
      </c>
      <c r="C4" s="5" t="s">
        <v>316</v>
      </c>
      <c r="E4" s="7"/>
      <c r="F4" s="4"/>
      <c r="G4" s="3"/>
      <c r="H4" s="11"/>
    </row>
    <row r="5" spans="1:8" x14ac:dyDescent="0.2">
      <c r="A5" t="s">
        <v>317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318</v>
      </c>
      <c r="B6" s="5">
        <v>31578</v>
      </c>
      <c r="C6" s="5" t="s">
        <v>319</v>
      </c>
      <c r="E6" s="7"/>
      <c r="F6" s="4"/>
      <c r="G6" s="3"/>
      <c r="H6" s="11"/>
    </row>
    <row r="7" spans="1:8" x14ac:dyDescent="0.2">
      <c r="A7" t="s">
        <v>320</v>
      </c>
      <c r="B7" s="5">
        <v>12</v>
      </c>
      <c r="C7" s="5" t="s">
        <v>316</v>
      </c>
      <c r="E7" s="7"/>
      <c r="F7" s="4"/>
      <c r="G7" s="3"/>
      <c r="H7" s="11"/>
    </row>
    <row r="8" spans="1:8" x14ac:dyDescent="0.2">
      <c r="A8" t="s">
        <v>321</v>
      </c>
      <c r="B8" s="5">
        <v>40</v>
      </c>
      <c r="C8" s="5" t="s">
        <v>316</v>
      </c>
      <c r="E8" s="7"/>
      <c r="F8" s="4"/>
      <c r="G8" s="3"/>
      <c r="H8" s="11"/>
    </row>
    <row r="9" spans="1:8" x14ac:dyDescent="0.2">
      <c r="A9" t="s">
        <v>322</v>
      </c>
      <c r="B9" s="5">
        <v>13</v>
      </c>
      <c r="C9" s="5" t="s">
        <v>316</v>
      </c>
      <c r="E9" s="7"/>
      <c r="F9" s="4"/>
      <c r="G9" s="3"/>
      <c r="H9" s="11"/>
    </row>
    <row r="10" spans="1:8" x14ac:dyDescent="0.2">
      <c r="A10" s="6" t="s">
        <v>323</v>
      </c>
      <c r="B10" s="5">
        <v>18</v>
      </c>
      <c r="C10" s="5" t="s">
        <v>316</v>
      </c>
      <c r="E10" s="7"/>
      <c r="F10" s="4"/>
      <c r="G10" s="44"/>
      <c r="H10" s="44"/>
    </row>
    <row r="11" spans="1:8" ht="14.25" x14ac:dyDescent="0.2">
      <c r="A11" s="6" t="s">
        <v>324</v>
      </c>
      <c r="B11" s="5">
        <v>120</v>
      </c>
      <c r="C11" s="5" t="s">
        <v>319</v>
      </c>
      <c r="E11" s="7"/>
      <c r="F11" s="4"/>
      <c r="G11" s="5"/>
      <c r="H11" s="13"/>
    </row>
    <row r="12" spans="1:8" x14ac:dyDescent="0.2">
      <c r="A12" t="s">
        <v>325</v>
      </c>
      <c r="B12" s="5">
        <v>3</v>
      </c>
      <c r="C12" t="s">
        <v>326</v>
      </c>
    </row>
    <row r="13" spans="1:8" x14ac:dyDescent="0.2">
      <c r="H13" s="5"/>
    </row>
    <row r="14" spans="1:8" x14ac:dyDescent="0.2">
      <c r="A14" t="s">
        <v>327</v>
      </c>
      <c r="H14" s="5"/>
    </row>
    <row r="15" spans="1:8" x14ac:dyDescent="0.2">
      <c r="A15" t="s">
        <v>328</v>
      </c>
      <c r="H15" s="5"/>
    </row>
    <row r="16" spans="1:8" x14ac:dyDescent="0.2">
      <c r="A16" t="s">
        <v>329</v>
      </c>
      <c r="B16" t="s">
        <v>299</v>
      </c>
      <c r="C16" t="s">
        <v>330</v>
      </c>
    </row>
    <row r="17" spans="1:3" x14ac:dyDescent="0.2">
      <c r="A17" t="s">
        <v>331</v>
      </c>
      <c r="B17" t="s">
        <v>332</v>
      </c>
      <c r="C17" t="s">
        <v>333</v>
      </c>
    </row>
    <row r="19" spans="1:3" x14ac:dyDescent="0.2">
      <c r="A19" s="1" t="s">
        <v>334</v>
      </c>
    </row>
    <row r="20" spans="1:3" x14ac:dyDescent="0.2">
      <c r="A20" t="s">
        <v>335</v>
      </c>
      <c r="B20" s="5">
        <v>1</v>
      </c>
      <c r="C20" s="5"/>
    </row>
    <row r="21" spans="1:3" x14ac:dyDescent="0.2">
      <c r="A21" t="s">
        <v>315</v>
      </c>
      <c r="B21" s="5">
        <v>30</v>
      </c>
      <c r="C21" s="5" t="s">
        <v>316</v>
      </c>
    </row>
    <row r="22" spans="1:3" x14ac:dyDescent="0.2">
      <c r="A22" t="s">
        <v>336</v>
      </c>
      <c r="B22" s="5">
        <f>3*1340</f>
        <v>4020</v>
      </c>
      <c r="C22" s="5"/>
    </row>
    <row r="23" spans="1:3" ht="14.25" x14ac:dyDescent="0.2">
      <c r="A23" t="s">
        <v>337</v>
      </c>
      <c r="B23" s="5">
        <f>B22*B21*PI()*B28/2*B28/2</f>
        <v>94719.018505732267</v>
      </c>
      <c r="C23" s="5" t="s">
        <v>319</v>
      </c>
    </row>
    <row r="24" spans="1:3" x14ac:dyDescent="0.2">
      <c r="A24" t="s">
        <v>320</v>
      </c>
      <c r="B24" s="5">
        <v>12</v>
      </c>
      <c r="C24" s="5" t="s">
        <v>316</v>
      </c>
    </row>
    <row r="25" spans="1:3" x14ac:dyDescent="0.2">
      <c r="A25" t="s">
        <v>321</v>
      </c>
      <c r="B25" s="5">
        <v>70</v>
      </c>
      <c r="C25" s="5" t="s">
        <v>316</v>
      </c>
    </row>
    <row r="26" spans="1:3" x14ac:dyDescent="0.2">
      <c r="A26" t="s">
        <v>322</v>
      </c>
      <c r="B26" s="5">
        <v>13</v>
      </c>
      <c r="C26" s="5" t="s">
        <v>316</v>
      </c>
    </row>
    <row r="27" spans="1:3" x14ac:dyDescent="0.2">
      <c r="A27" s="6" t="s">
        <v>338</v>
      </c>
      <c r="B27" s="5">
        <v>13</v>
      </c>
      <c r="C27" s="5" t="s">
        <v>316</v>
      </c>
    </row>
    <row r="28" spans="1:3" x14ac:dyDescent="0.2">
      <c r="A28" t="s">
        <v>325</v>
      </c>
      <c r="B28" s="5">
        <v>1</v>
      </c>
      <c r="C28" t="s">
        <v>240</v>
      </c>
    </row>
    <row r="30" spans="1:3" x14ac:dyDescent="0.2">
      <c r="A30" t="s">
        <v>339</v>
      </c>
      <c r="B30" t="s">
        <v>299</v>
      </c>
      <c r="C30" t="s">
        <v>340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H30"/>
  <sheetViews>
    <sheetView topLeftCell="A9" zoomScale="110" zoomScaleNormal="110" workbookViewId="0">
      <selection activeCell="B35" sqref="B35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313</v>
      </c>
      <c r="B1" s="1" t="s">
        <v>244</v>
      </c>
      <c r="C1" s="1" t="s">
        <v>107</v>
      </c>
    </row>
    <row r="2" spans="1:8" x14ac:dyDescent="0.2">
      <c r="A2" s="1" t="s">
        <v>341</v>
      </c>
      <c r="C2" s="43"/>
      <c r="D2" s="43"/>
    </row>
    <row r="3" spans="1:8" x14ac:dyDescent="0.2">
      <c r="A3" t="s">
        <v>342</v>
      </c>
      <c r="B3" s="5">
        <v>5</v>
      </c>
      <c r="C3" s="5" t="s">
        <v>343</v>
      </c>
      <c r="E3" s="7"/>
      <c r="F3" s="4"/>
      <c r="G3" s="3"/>
      <c r="H3" s="11"/>
    </row>
    <row r="4" spans="1:8" x14ac:dyDescent="0.2">
      <c r="A4" t="s">
        <v>344</v>
      </c>
      <c r="B4" s="5">
        <v>5</v>
      </c>
      <c r="C4" s="5" t="s">
        <v>345</v>
      </c>
      <c r="E4" s="7"/>
      <c r="F4" s="4"/>
      <c r="G4" s="3"/>
      <c r="H4" s="11"/>
    </row>
    <row r="5" spans="1:8" x14ac:dyDescent="0.2">
      <c r="A5" t="s">
        <v>346</v>
      </c>
      <c r="B5" s="5">
        <v>25</v>
      </c>
      <c r="C5" s="5" t="s">
        <v>347</v>
      </c>
      <c r="E5" s="7"/>
      <c r="F5" s="4"/>
      <c r="G5" s="3"/>
      <c r="H5" s="11"/>
    </row>
    <row r="6" spans="1:8" x14ac:dyDescent="0.2">
      <c r="A6" t="s">
        <v>315</v>
      </c>
      <c r="B6" s="5">
        <v>10</v>
      </c>
      <c r="C6" s="5" t="s">
        <v>316</v>
      </c>
      <c r="E6" s="7"/>
      <c r="F6" s="4"/>
      <c r="G6" s="3"/>
      <c r="H6" s="11"/>
    </row>
    <row r="7" spans="1:8" x14ac:dyDescent="0.2">
      <c r="A7" t="s">
        <v>317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318</v>
      </c>
      <c r="B8" s="5">
        <f>31578/3</f>
        <v>10526</v>
      </c>
      <c r="C8" s="5" t="s">
        <v>319</v>
      </c>
      <c r="E8" s="7"/>
      <c r="F8" s="4"/>
      <c r="G8" s="3"/>
      <c r="H8" s="11"/>
    </row>
    <row r="9" spans="1:8" x14ac:dyDescent="0.2">
      <c r="A9" t="s">
        <v>320</v>
      </c>
      <c r="B9" s="5">
        <v>12</v>
      </c>
      <c r="C9" s="5" t="s">
        <v>316</v>
      </c>
      <c r="E9" s="7"/>
      <c r="F9" s="4"/>
      <c r="G9" s="3"/>
      <c r="H9" s="11"/>
    </row>
    <row r="10" spans="1:8" x14ac:dyDescent="0.2">
      <c r="A10" t="s">
        <v>348</v>
      </c>
      <c r="B10" s="5">
        <v>70</v>
      </c>
      <c r="C10" s="5" t="s">
        <v>316</v>
      </c>
      <c r="E10" s="7"/>
      <c r="F10" s="4"/>
      <c r="G10" s="3"/>
      <c r="H10" s="11"/>
    </row>
    <row r="11" spans="1:8" x14ac:dyDescent="0.2">
      <c r="A11" t="s">
        <v>349</v>
      </c>
      <c r="B11" s="5">
        <v>13</v>
      </c>
      <c r="C11" s="5" t="s">
        <v>316</v>
      </c>
      <c r="E11" s="7"/>
      <c r="F11" s="4"/>
      <c r="G11" s="3"/>
      <c r="H11" s="11"/>
    </row>
    <row r="12" spans="1:8" x14ac:dyDescent="0.2">
      <c r="A12" s="6" t="s">
        <v>338</v>
      </c>
      <c r="B12" s="5">
        <v>54</v>
      </c>
      <c r="C12" s="5" t="s">
        <v>316</v>
      </c>
      <c r="E12" s="7"/>
      <c r="F12" s="4"/>
      <c r="G12" s="44"/>
      <c r="H12" s="44"/>
    </row>
    <row r="13" spans="1:8" ht="14.25" x14ac:dyDescent="0.2">
      <c r="A13" s="6" t="s">
        <v>324</v>
      </c>
      <c r="B13" s="5">
        <f>B4*120</f>
        <v>600</v>
      </c>
      <c r="C13" s="5" t="s">
        <v>319</v>
      </c>
      <c r="E13" s="7"/>
      <c r="F13" s="4"/>
      <c r="G13" s="5"/>
      <c r="H13" s="13"/>
    </row>
    <row r="14" spans="1:8" x14ac:dyDescent="0.2">
      <c r="A14" t="s">
        <v>325</v>
      </c>
      <c r="B14" s="5">
        <v>3</v>
      </c>
      <c r="C14" t="s">
        <v>326</v>
      </c>
    </row>
    <row r="15" spans="1:8" x14ac:dyDescent="0.2">
      <c r="H15" s="5"/>
    </row>
    <row r="16" spans="1:8" x14ac:dyDescent="0.2">
      <c r="A16" t="s">
        <v>350</v>
      </c>
      <c r="B16" t="s">
        <v>299</v>
      </c>
      <c r="C16" t="s">
        <v>330</v>
      </c>
    </row>
    <row r="17" spans="1:3" x14ac:dyDescent="0.2">
      <c r="A17" t="s">
        <v>331</v>
      </c>
      <c r="B17" t="s">
        <v>332</v>
      </c>
      <c r="C17" t="s">
        <v>333</v>
      </c>
    </row>
    <row r="19" spans="1:3" x14ac:dyDescent="0.2">
      <c r="A19" s="1" t="s">
        <v>351</v>
      </c>
    </row>
    <row r="20" spans="1:3" x14ac:dyDescent="0.2">
      <c r="A20" t="s">
        <v>335</v>
      </c>
      <c r="B20" s="5">
        <v>2</v>
      </c>
      <c r="C20" s="5"/>
    </row>
    <row r="21" spans="1:3" x14ac:dyDescent="0.2">
      <c r="A21" t="s">
        <v>352</v>
      </c>
      <c r="B21" s="5">
        <v>60</v>
      </c>
      <c r="C21" s="5" t="s">
        <v>316</v>
      </c>
    </row>
    <row r="22" spans="1:3" x14ac:dyDescent="0.2">
      <c r="A22" t="s">
        <v>336</v>
      </c>
      <c r="B22" s="5">
        <v>1340</v>
      </c>
      <c r="C22" s="5"/>
    </row>
    <row r="23" spans="1:3" ht="14.25" x14ac:dyDescent="0.2">
      <c r="A23" t="s">
        <v>353</v>
      </c>
      <c r="B23" s="5">
        <f>B21*B22*PI()*B28/2*B28/2</f>
        <v>63146.01233715484</v>
      </c>
      <c r="C23" s="5" t="s">
        <v>319</v>
      </c>
    </row>
    <row r="24" spans="1:3" x14ac:dyDescent="0.2">
      <c r="A24" t="s">
        <v>320</v>
      </c>
      <c r="B24" s="5">
        <v>12</v>
      </c>
      <c r="C24" s="5" t="s">
        <v>316</v>
      </c>
    </row>
    <row r="25" spans="1:3" x14ac:dyDescent="0.2">
      <c r="A25" t="s">
        <v>348</v>
      </c>
      <c r="B25" s="5">
        <v>70</v>
      </c>
      <c r="C25" s="5" t="s">
        <v>316</v>
      </c>
    </row>
    <row r="26" spans="1:3" x14ac:dyDescent="0.2">
      <c r="A26" t="s">
        <v>349</v>
      </c>
      <c r="B26" s="5">
        <v>13</v>
      </c>
      <c r="C26" s="5" t="s">
        <v>316</v>
      </c>
    </row>
    <row r="27" spans="1:3" x14ac:dyDescent="0.2">
      <c r="A27" s="6" t="s">
        <v>338</v>
      </c>
      <c r="B27" s="5">
        <v>54</v>
      </c>
      <c r="C27" s="5" t="s">
        <v>316</v>
      </c>
    </row>
    <row r="28" spans="1:3" x14ac:dyDescent="0.2">
      <c r="A28" t="s">
        <v>325</v>
      </c>
      <c r="B28" s="5">
        <v>1</v>
      </c>
      <c r="C28" t="s">
        <v>240</v>
      </c>
    </row>
    <row r="30" spans="1:3" x14ac:dyDescent="0.2">
      <c r="A30" t="s">
        <v>354</v>
      </c>
      <c r="B30" t="s">
        <v>299</v>
      </c>
      <c r="C30" t="s">
        <v>340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D62"/>
  <sheetViews>
    <sheetView topLeftCell="A31" workbookViewId="0">
      <selection activeCell="C1" sqref="C1"/>
    </sheetView>
  </sheetViews>
  <sheetFormatPr defaultColWidth="11.5703125" defaultRowHeight="12.75" x14ac:dyDescent="0.2"/>
  <cols>
    <col min="1" max="1" width="34.7109375" customWidth="1"/>
    <col min="2" max="2" width="13.140625" style="47" customWidth="1"/>
  </cols>
  <sheetData>
    <row r="1" spans="1:4" x14ac:dyDescent="0.2">
      <c r="A1" s="1" t="s">
        <v>520</v>
      </c>
      <c r="D1" s="1"/>
    </row>
    <row r="2" spans="1:4" x14ac:dyDescent="0.2">
      <c r="A2" t="s">
        <v>355</v>
      </c>
      <c r="B2" s="48">
        <v>10</v>
      </c>
      <c r="C2" t="s">
        <v>356</v>
      </c>
    </row>
    <row r="3" spans="1:4" x14ac:dyDescent="0.2">
      <c r="A3" t="s">
        <v>355</v>
      </c>
      <c r="B3" s="49">
        <f>B2*43560</f>
        <v>435600</v>
      </c>
      <c r="C3" t="s">
        <v>357</v>
      </c>
    </row>
    <row r="4" spans="1:4" x14ac:dyDescent="0.2">
      <c r="A4" t="s">
        <v>358</v>
      </c>
      <c r="B4" s="47">
        <f>SQRT(B3)</f>
        <v>660</v>
      </c>
      <c r="C4" t="s">
        <v>359</v>
      </c>
    </row>
    <row r="5" spans="1:4" x14ac:dyDescent="0.2">
      <c r="A5" t="s">
        <v>360</v>
      </c>
      <c r="B5" s="48">
        <v>4</v>
      </c>
      <c r="C5" t="s">
        <v>359</v>
      </c>
    </row>
    <row r="6" spans="1:4" x14ac:dyDescent="0.2">
      <c r="A6" t="s">
        <v>361</v>
      </c>
      <c r="B6" s="48">
        <v>10</v>
      </c>
      <c r="C6" t="s">
        <v>359</v>
      </c>
    </row>
    <row r="7" spans="1:4" x14ac:dyDescent="0.2">
      <c r="A7" t="s">
        <v>362</v>
      </c>
      <c r="B7" s="48">
        <v>2</v>
      </c>
      <c r="C7" t="s">
        <v>363</v>
      </c>
    </row>
    <row r="8" spans="1:4" x14ac:dyDescent="0.2">
      <c r="A8" t="s">
        <v>364</v>
      </c>
      <c r="B8" s="47">
        <f>2*B5*B7+B6</f>
        <v>26</v>
      </c>
      <c r="C8" t="s">
        <v>359</v>
      </c>
    </row>
    <row r="9" spans="1:4" x14ac:dyDescent="0.2">
      <c r="A9" t="s">
        <v>365</v>
      </c>
      <c r="B9" s="47">
        <f>(B5*B5*B7)+(B6*B5)</f>
        <v>72</v>
      </c>
      <c r="C9" t="s">
        <v>357</v>
      </c>
    </row>
    <row r="10" spans="1:4" x14ac:dyDescent="0.2">
      <c r="A10" t="s">
        <v>366</v>
      </c>
      <c r="B10" s="47">
        <f>B8*B9/27</f>
        <v>69.333333333333329</v>
      </c>
      <c r="C10" t="s">
        <v>367</v>
      </c>
    </row>
    <row r="11" spans="1:4" x14ac:dyDescent="0.2">
      <c r="A11" t="s">
        <v>368</v>
      </c>
      <c r="B11" s="47">
        <f>B4*B9/27</f>
        <v>1760</v>
      </c>
      <c r="C11" t="s">
        <v>367</v>
      </c>
    </row>
    <row r="12" spans="1:4" x14ac:dyDescent="0.2">
      <c r="A12" t="s">
        <v>369</v>
      </c>
      <c r="B12" s="47">
        <f>4*B10+4*B11</f>
        <v>7317.333333333333</v>
      </c>
      <c r="C12" t="s">
        <v>367</v>
      </c>
    </row>
    <row r="13" spans="1:4" x14ac:dyDescent="0.2">
      <c r="A13" t="s">
        <v>370</v>
      </c>
      <c r="B13" s="50">
        <v>4</v>
      </c>
      <c r="C13" t="s">
        <v>371</v>
      </c>
    </row>
    <row r="14" spans="1:4" x14ac:dyDescent="0.2">
      <c r="A14" t="s">
        <v>372</v>
      </c>
      <c r="B14" s="51">
        <f>B13*B12</f>
        <v>29269.333333333332</v>
      </c>
      <c r="C14" t="s">
        <v>373</v>
      </c>
    </row>
    <row r="16" spans="1:4" x14ac:dyDescent="0.2">
      <c r="A16" t="s">
        <v>374</v>
      </c>
      <c r="B16" s="48">
        <v>30</v>
      </c>
      <c r="C16" t="s">
        <v>359</v>
      </c>
    </row>
    <row r="17" spans="1:3" x14ac:dyDescent="0.2">
      <c r="A17" t="s">
        <v>375</v>
      </c>
      <c r="B17" s="48">
        <v>100</v>
      </c>
      <c r="C17" t="s">
        <v>359</v>
      </c>
    </row>
    <row r="18" spans="1:3" x14ac:dyDescent="0.2">
      <c r="A18" t="s">
        <v>376</v>
      </c>
      <c r="B18" s="50">
        <v>2580</v>
      </c>
      <c r="C18" t="s">
        <v>170</v>
      </c>
    </row>
    <row r="19" spans="1:3" x14ac:dyDescent="0.2">
      <c r="A19" t="s">
        <v>377</v>
      </c>
      <c r="B19" s="52">
        <f>ROUNDUP(B3/(B16*B17),0)</f>
        <v>146</v>
      </c>
    </row>
    <row r="20" spans="1:3" x14ac:dyDescent="0.2">
      <c r="A20" t="s">
        <v>378</v>
      </c>
      <c r="B20" s="51">
        <f>B18*B19</f>
        <v>376680</v>
      </c>
    </row>
    <row r="22" spans="1:3" x14ac:dyDescent="0.2">
      <c r="A22" t="s">
        <v>379</v>
      </c>
      <c r="B22" s="48">
        <v>48</v>
      </c>
      <c r="C22" t="s">
        <v>359</v>
      </c>
    </row>
    <row r="23" spans="1:3" x14ac:dyDescent="0.2">
      <c r="A23" t="s">
        <v>380</v>
      </c>
      <c r="B23" s="48">
        <v>102</v>
      </c>
      <c r="C23" t="s">
        <v>359</v>
      </c>
    </row>
    <row r="24" spans="1:3" x14ac:dyDescent="0.2">
      <c r="A24" t="s">
        <v>381</v>
      </c>
      <c r="B24" s="50">
        <v>2399.04</v>
      </c>
      <c r="C24" t="s">
        <v>170</v>
      </c>
    </row>
    <row r="25" spans="1:3" x14ac:dyDescent="0.2">
      <c r="A25" t="s">
        <v>377</v>
      </c>
      <c r="B25" s="52">
        <f>ROUNDUP(B3/(B22*B23),0)</f>
        <v>89</v>
      </c>
    </row>
    <row r="26" spans="1:3" x14ac:dyDescent="0.2">
      <c r="A26" t="s">
        <v>382</v>
      </c>
      <c r="B26" s="51">
        <f>B24*B25</f>
        <v>213514.56</v>
      </c>
    </row>
    <row r="28" spans="1:3" x14ac:dyDescent="0.2">
      <c r="A28" t="s">
        <v>383</v>
      </c>
      <c r="B28" s="48">
        <v>3</v>
      </c>
      <c r="C28" t="s">
        <v>359</v>
      </c>
    </row>
    <row r="29" spans="1:3" x14ac:dyDescent="0.2">
      <c r="A29" t="s">
        <v>384</v>
      </c>
      <c r="B29" s="53">
        <f>B4</f>
        <v>660</v>
      </c>
      <c r="C29" t="s">
        <v>359</v>
      </c>
    </row>
    <row r="30" spans="1:3" x14ac:dyDescent="0.2">
      <c r="A30" t="s">
        <v>385</v>
      </c>
      <c r="B30" s="49">
        <f>B28*B29</f>
        <v>1980</v>
      </c>
      <c r="C30" t="s">
        <v>357</v>
      </c>
    </row>
    <row r="31" spans="1:3" x14ac:dyDescent="0.2">
      <c r="A31" t="s">
        <v>386</v>
      </c>
      <c r="B31" s="47">
        <f>B30</f>
        <v>1980</v>
      </c>
      <c r="C31" t="s">
        <v>359</v>
      </c>
    </row>
    <row r="32" spans="1:3" x14ac:dyDescent="0.2">
      <c r="A32" t="s">
        <v>360</v>
      </c>
      <c r="B32" s="48">
        <v>4</v>
      </c>
      <c r="C32" t="s">
        <v>359</v>
      </c>
    </row>
    <row r="33" spans="1:3" x14ac:dyDescent="0.2">
      <c r="A33" t="s">
        <v>361</v>
      </c>
      <c r="B33" s="48">
        <v>2</v>
      </c>
      <c r="C33" t="s">
        <v>359</v>
      </c>
    </row>
    <row r="34" spans="1:3" x14ac:dyDescent="0.2">
      <c r="A34" t="s">
        <v>362</v>
      </c>
      <c r="B34" s="48">
        <v>1</v>
      </c>
      <c r="C34" t="s">
        <v>363</v>
      </c>
    </row>
    <row r="35" spans="1:3" x14ac:dyDescent="0.2">
      <c r="A35" t="s">
        <v>364</v>
      </c>
      <c r="B35" s="47">
        <f>2*B32*B34+B33</f>
        <v>10</v>
      </c>
      <c r="C35" t="s">
        <v>359</v>
      </c>
    </row>
    <row r="36" spans="1:3" x14ac:dyDescent="0.2">
      <c r="A36" t="s">
        <v>365</v>
      </c>
      <c r="B36" s="47">
        <f>(B32*B32*B34)+(B33*B32)</f>
        <v>24</v>
      </c>
      <c r="C36" t="s">
        <v>357</v>
      </c>
    </row>
    <row r="37" spans="1:3" x14ac:dyDescent="0.2">
      <c r="A37" t="s">
        <v>366</v>
      </c>
      <c r="B37" s="47">
        <f>B35*B36/27</f>
        <v>8.8888888888888893</v>
      </c>
      <c r="C37" t="s">
        <v>367</v>
      </c>
    </row>
    <row r="38" spans="1:3" x14ac:dyDescent="0.2">
      <c r="A38" t="s">
        <v>368</v>
      </c>
      <c r="B38" s="47">
        <f>B31*B36/27</f>
        <v>1760</v>
      </c>
      <c r="C38" t="s">
        <v>367</v>
      </c>
    </row>
    <row r="39" spans="1:3" x14ac:dyDescent="0.2">
      <c r="A39" t="s">
        <v>369</v>
      </c>
      <c r="B39" s="47">
        <f>4*B37+4*B38</f>
        <v>7075.5555555555557</v>
      </c>
      <c r="C39" t="s">
        <v>367</v>
      </c>
    </row>
    <row r="40" spans="1:3" x14ac:dyDescent="0.2">
      <c r="A40" t="s">
        <v>370</v>
      </c>
      <c r="B40" s="50">
        <v>4</v>
      </c>
      <c r="C40" t="s">
        <v>371</v>
      </c>
    </row>
    <row r="41" spans="1:3" x14ac:dyDescent="0.2">
      <c r="A41" t="s">
        <v>372</v>
      </c>
      <c r="B41" s="51">
        <f>B40*B39</f>
        <v>28302.222222222223</v>
      </c>
      <c r="C41" t="s">
        <v>373</v>
      </c>
    </row>
    <row r="42" spans="1:3" x14ac:dyDescent="0.2">
      <c r="B42" s="51"/>
    </row>
    <row r="43" spans="1:3" x14ac:dyDescent="0.2">
      <c r="A43" t="s">
        <v>485</v>
      </c>
      <c r="B43" s="54">
        <v>5000</v>
      </c>
      <c r="C43" t="s">
        <v>118</v>
      </c>
    </row>
    <row r="45" spans="1:3" x14ac:dyDescent="0.2">
      <c r="A45" t="s">
        <v>497</v>
      </c>
      <c r="B45" s="51">
        <f>SUM(B14,B26,B41,B43)</f>
        <v>276086.11555555556</v>
      </c>
    </row>
    <row r="46" spans="1:3" x14ac:dyDescent="0.2">
      <c r="A46" t="s">
        <v>502</v>
      </c>
      <c r="B46" s="51">
        <f xml:space="preserve"> B45 / B2</f>
        <v>27608.611555555555</v>
      </c>
    </row>
    <row r="48" spans="1:3" x14ac:dyDescent="0.2">
      <c r="A48" t="s">
        <v>387</v>
      </c>
      <c r="B48" s="54">
        <v>10</v>
      </c>
      <c r="C48" t="s">
        <v>114</v>
      </c>
    </row>
    <row r="49" spans="1:3" x14ac:dyDescent="0.2">
      <c r="A49" t="s">
        <v>486</v>
      </c>
      <c r="B49" s="55">
        <f>B2*B48</f>
        <v>100</v>
      </c>
      <c r="C49" t="s">
        <v>114</v>
      </c>
    </row>
    <row r="50" spans="1:3" x14ac:dyDescent="0.2">
      <c r="A50" t="s">
        <v>498</v>
      </c>
      <c r="B50" s="54">
        <v>1200</v>
      </c>
      <c r="C50" t="s">
        <v>114</v>
      </c>
    </row>
    <row r="51" spans="1:3" x14ac:dyDescent="0.2">
      <c r="A51" t="s">
        <v>499</v>
      </c>
      <c r="B51" s="55">
        <f>B2*B50</f>
        <v>12000</v>
      </c>
      <c r="C51" t="s">
        <v>114</v>
      </c>
    </row>
    <row r="52" spans="1:3" x14ac:dyDescent="0.2">
      <c r="A52" t="s">
        <v>500</v>
      </c>
      <c r="B52" s="55">
        <f xml:space="preserve"> B43 + B49 + B51</f>
        <v>17100</v>
      </c>
      <c r="C52" t="s">
        <v>114</v>
      </c>
    </row>
    <row r="53" spans="1:3" x14ac:dyDescent="0.2">
      <c r="A53" t="s">
        <v>501</v>
      </c>
      <c r="B53" s="55">
        <f xml:space="preserve"> B52 / B2</f>
        <v>1710</v>
      </c>
      <c r="C53" t="s">
        <v>114</v>
      </c>
    </row>
    <row r="54" spans="1:3" x14ac:dyDescent="0.2">
      <c r="B54" s="55"/>
    </row>
    <row r="55" spans="1:3" ht="15" x14ac:dyDescent="0.25">
      <c r="A55" s="110" t="s">
        <v>474</v>
      </c>
      <c r="B55" s="112">
        <v>1189200</v>
      </c>
      <c r="C55" s="110" t="s">
        <v>188</v>
      </c>
    </row>
    <row r="56" spans="1:3" ht="15" x14ac:dyDescent="0.25">
      <c r="A56" s="120" t="s">
        <v>493</v>
      </c>
      <c r="B56" s="111">
        <v>300000</v>
      </c>
      <c r="C56" s="110" t="s">
        <v>188</v>
      </c>
    </row>
    <row r="57" spans="1:3" ht="15" x14ac:dyDescent="0.25">
      <c r="A57" s="120" t="s">
        <v>492</v>
      </c>
      <c r="B57" s="113">
        <f xml:space="preserve"> B56/B55</f>
        <v>0.25227043390514631</v>
      </c>
      <c r="C57" s="110"/>
    </row>
    <row r="58" spans="1:3" ht="15" x14ac:dyDescent="0.25">
      <c r="A58" s="120" t="s">
        <v>491</v>
      </c>
      <c r="B58" s="112">
        <v>1233.4892384681</v>
      </c>
      <c r="C58" s="110"/>
    </row>
    <row r="59" spans="1:3" ht="15" x14ac:dyDescent="0.25">
      <c r="A59" s="120" t="s">
        <v>490</v>
      </c>
      <c r="B59" s="112">
        <f xml:space="preserve"> B58 * 1000</f>
        <v>1233489.2384681001</v>
      </c>
      <c r="C59" s="110"/>
    </row>
    <row r="60" spans="1:3" x14ac:dyDescent="0.2">
      <c r="A60" t="s">
        <v>487</v>
      </c>
      <c r="B60" s="49">
        <f xml:space="preserve"> B2 * (B32 - 1)</f>
        <v>30</v>
      </c>
      <c r="C60" t="s">
        <v>488</v>
      </c>
    </row>
    <row r="61" spans="1:3" x14ac:dyDescent="0.2">
      <c r="A61" t="s">
        <v>494</v>
      </c>
      <c r="B61" s="47">
        <f xml:space="preserve"> B59 * B60 * B55 / 1000 / 1000 / 1000</f>
        <v>44005.962071587935</v>
      </c>
      <c r="C61" t="s">
        <v>489</v>
      </c>
    </row>
    <row r="62" spans="1:3" x14ac:dyDescent="0.2">
      <c r="A62" t="s">
        <v>496</v>
      </c>
      <c r="B62" s="47">
        <f xml:space="preserve"> B59 * B60 * B55 / 1000 / 1000 / 1000 / B2</f>
        <v>4400.5962071587937</v>
      </c>
      <c r="C62" t="s">
        <v>489</v>
      </c>
    </row>
  </sheetData>
  <sheetProtection selectLockedCells="1" selectUnlockedCells="1"/>
  <dataConsolidate/>
  <printOptions gridLines="1"/>
  <pageMargins left="0.78749999999999998" right="0.78749999999999998" top="1.0249999999999999" bottom="1.0249999999999999" header="0.78749999999999998" footer="0.78749999999999998"/>
  <pageSetup scale="80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151"/>
  <sheetViews>
    <sheetView zoomScale="110" zoomScaleNormal="110" workbookViewId="0">
      <selection activeCell="F97" sqref="F97"/>
    </sheetView>
  </sheetViews>
  <sheetFormatPr defaultRowHeight="12.75" x14ac:dyDescent="0.2"/>
  <cols>
    <col min="1" max="1" width="3" customWidth="1"/>
    <col min="2" max="4" width="0" hidden="1" customWidth="1"/>
    <col min="5" max="5" width="46.5703125" customWidth="1"/>
    <col min="6" max="6" width="15" customWidth="1"/>
    <col min="8" max="8" width="49.5703125" customWidth="1"/>
    <col min="9" max="9" width="16" customWidth="1"/>
  </cols>
  <sheetData>
    <row r="1" spans="2:6" x14ac:dyDescent="0.2">
      <c r="B1" t="s">
        <v>391</v>
      </c>
      <c r="C1" s="56"/>
      <c r="E1" t="s">
        <v>391</v>
      </c>
      <c r="F1" t="s">
        <v>392</v>
      </c>
    </row>
    <row r="3" spans="2:6" x14ac:dyDescent="0.2">
      <c r="B3" s="57" t="s">
        <v>393</v>
      </c>
      <c r="C3" s="58"/>
      <c r="E3" s="57" t="s">
        <v>393</v>
      </c>
      <c r="F3" s="58"/>
    </row>
    <row r="4" spans="2:6" x14ac:dyDescent="0.2">
      <c r="B4" s="59" t="s">
        <v>394</v>
      </c>
      <c r="C4" s="60"/>
      <c r="E4" s="59" t="s">
        <v>395</v>
      </c>
      <c r="F4" s="60"/>
    </row>
    <row r="5" spans="2:6" x14ac:dyDescent="0.2">
      <c r="B5" s="61" t="s">
        <v>396</v>
      </c>
      <c r="C5" s="62">
        <v>0</v>
      </c>
      <c r="E5" s="61" t="s">
        <v>397</v>
      </c>
      <c r="F5" s="62">
        <f>C6+0.064*C6</f>
        <v>33682406.408</v>
      </c>
    </row>
    <row r="6" spans="2:6" x14ac:dyDescent="0.2">
      <c r="B6" s="61" t="s">
        <v>398</v>
      </c>
      <c r="C6" s="62">
        <v>31656397</v>
      </c>
      <c r="E6" s="61" t="s">
        <v>399</v>
      </c>
      <c r="F6" s="62">
        <f>C11+0.064*C11</f>
        <v>426811.89600000001</v>
      </c>
    </row>
    <row r="7" spans="2:6" x14ac:dyDescent="0.2">
      <c r="B7" s="61" t="s">
        <v>400</v>
      </c>
      <c r="C7" s="62">
        <v>0</v>
      </c>
      <c r="E7" s="59" t="s">
        <v>401</v>
      </c>
      <c r="F7" s="62">
        <f>SUM(F5:F6)</f>
        <v>34109218.303999998</v>
      </c>
    </row>
    <row r="8" spans="2:6" x14ac:dyDescent="0.2">
      <c r="B8" s="61" t="s">
        <v>402</v>
      </c>
      <c r="C8" s="62">
        <v>0</v>
      </c>
      <c r="E8" s="61"/>
      <c r="F8" s="60"/>
    </row>
    <row r="9" spans="2:6" x14ac:dyDescent="0.2">
      <c r="B9" s="61" t="s">
        <v>403</v>
      </c>
      <c r="C9" s="62">
        <v>0</v>
      </c>
      <c r="E9" s="59" t="s">
        <v>404</v>
      </c>
      <c r="F9" s="60"/>
    </row>
    <row r="10" spans="2:6" x14ac:dyDescent="0.2">
      <c r="B10" s="61" t="s">
        <v>405</v>
      </c>
      <c r="C10" s="62">
        <v>0</v>
      </c>
      <c r="E10" s="61" t="s">
        <v>406</v>
      </c>
      <c r="F10" s="63">
        <f>0.05*F7</f>
        <v>1705460.9151999999</v>
      </c>
    </row>
    <row r="11" spans="2:6" x14ac:dyDescent="0.2">
      <c r="B11" s="61" t="s">
        <v>399</v>
      </c>
      <c r="C11" s="62">
        <f>(C23+C24)/6</f>
        <v>401139</v>
      </c>
      <c r="E11" s="61" t="s">
        <v>407</v>
      </c>
      <c r="F11" s="63">
        <f>0.1*F7</f>
        <v>3410921.8303999999</v>
      </c>
    </row>
    <row r="12" spans="2:6" x14ac:dyDescent="0.2">
      <c r="B12" s="59" t="s">
        <v>408</v>
      </c>
      <c r="C12" s="62">
        <f>SUM(C5:C11)</f>
        <v>32057536</v>
      </c>
      <c r="E12" s="61" t="s">
        <v>409</v>
      </c>
      <c r="F12" s="63">
        <f>0.15*SUM(F5:F6)</f>
        <v>5116382.7455999991</v>
      </c>
    </row>
    <row r="13" spans="2:6" x14ac:dyDescent="0.2">
      <c r="B13" s="61"/>
      <c r="C13" s="60"/>
      <c r="E13" s="61" t="s">
        <v>410</v>
      </c>
      <c r="F13" s="63">
        <f>0.5*0.06*F7</f>
        <v>1023276.5491199999</v>
      </c>
    </row>
    <row r="14" spans="2:6" x14ac:dyDescent="0.2">
      <c r="B14" s="59" t="s">
        <v>404</v>
      </c>
      <c r="C14" s="60"/>
      <c r="E14" s="59" t="s">
        <v>404</v>
      </c>
      <c r="F14" s="63">
        <f>SUM(F10:F13)</f>
        <v>11256042.04032</v>
      </c>
    </row>
    <row r="15" spans="2:6" x14ac:dyDescent="0.2">
      <c r="B15" s="61" t="s">
        <v>406</v>
      </c>
      <c r="C15" s="63">
        <f>0.05*(C12-C11)</f>
        <v>1582819.85</v>
      </c>
      <c r="E15" s="61"/>
      <c r="F15" s="60"/>
    </row>
    <row r="16" spans="2:6" x14ac:dyDescent="0.2">
      <c r="B16" s="61" t="s">
        <v>407</v>
      </c>
      <c r="C16" s="63">
        <f>0.1*C12</f>
        <v>3205753.6</v>
      </c>
      <c r="E16" s="59" t="s">
        <v>411</v>
      </c>
      <c r="F16" s="62">
        <f>SUM(F7,F14)</f>
        <v>45365260.344319999</v>
      </c>
    </row>
    <row r="17" spans="2:6" x14ac:dyDescent="0.2">
      <c r="B17" s="61" t="s">
        <v>409</v>
      </c>
      <c r="C17" s="63">
        <f>0.15*SUM(C5:C11)</f>
        <v>4808630.3999999994</v>
      </c>
      <c r="E17" s="59"/>
      <c r="F17" s="62"/>
    </row>
    <row r="18" spans="2:6" x14ac:dyDescent="0.2">
      <c r="B18" s="61" t="s">
        <v>410</v>
      </c>
      <c r="C18" s="63">
        <f>0.5*0.06*C12</f>
        <v>961726.08</v>
      </c>
      <c r="E18" s="59" t="s">
        <v>412</v>
      </c>
      <c r="F18" s="62">
        <f>C23+0.064*C23</f>
        <v>2548103.3760000002</v>
      </c>
    </row>
    <row r="19" spans="2:6" x14ac:dyDescent="0.2">
      <c r="B19" s="59" t="s">
        <v>404</v>
      </c>
      <c r="C19" s="63">
        <f>SUM(C15:C18)</f>
        <v>10558929.93</v>
      </c>
      <c r="E19" s="59" t="s">
        <v>413</v>
      </c>
      <c r="F19" s="62">
        <f>C24+0.064*C24</f>
        <v>12768</v>
      </c>
    </row>
    <row r="20" spans="2:6" x14ac:dyDescent="0.2">
      <c r="B20" s="61"/>
      <c r="C20" s="60"/>
      <c r="E20" s="61"/>
      <c r="F20" s="60"/>
    </row>
    <row r="21" spans="2:6" x14ac:dyDescent="0.2">
      <c r="B21" s="59" t="s">
        <v>411</v>
      </c>
      <c r="C21" s="62">
        <f>SUM(C12,C19)</f>
        <v>42616465.93</v>
      </c>
      <c r="E21" s="59" t="s">
        <v>414</v>
      </c>
      <c r="F21" s="62"/>
    </row>
    <row r="22" spans="2:6" x14ac:dyDescent="0.2">
      <c r="B22" s="59"/>
      <c r="C22" s="62"/>
      <c r="E22" s="61" t="s">
        <v>415</v>
      </c>
      <c r="F22" s="62">
        <f>F18+F19+(F16-F13)/32-ISPMT(0.04,1,10,F7)</f>
        <v>5174490.2285440005</v>
      </c>
    </row>
    <row r="23" spans="2:6" x14ac:dyDescent="0.2">
      <c r="B23" s="59" t="s">
        <v>416</v>
      </c>
      <c r="C23" s="62">
        <v>2394834</v>
      </c>
      <c r="E23" s="61" t="s">
        <v>417</v>
      </c>
      <c r="F23" s="64">
        <v>25000</v>
      </c>
    </row>
    <row r="24" spans="2:6" x14ac:dyDescent="0.2">
      <c r="B24" s="59" t="s">
        <v>418</v>
      </c>
      <c r="C24" s="62">
        <v>12000</v>
      </c>
      <c r="E24" s="65" t="s">
        <v>419</v>
      </c>
      <c r="F24" s="66">
        <f>F22/F23</f>
        <v>206.97960914176002</v>
      </c>
    </row>
    <row r="25" spans="2:6" x14ac:dyDescent="0.2">
      <c r="B25" s="59"/>
      <c r="C25" s="62"/>
    </row>
    <row r="26" spans="2:6" x14ac:dyDescent="0.2">
      <c r="B26" s="59" t="s">
        <v>414</v>
      </c>
      <c r="C26" s="62"/>
      <c r="E26" t="s">
        <v>391</v>
      </c>
      <c r="F26" t="s">
        <v>392</v>
      </c>
    </row>
    <row r="27" spans="2:6" x14ac:dyDescent="0.2">
      <c r="B27" s="61" t="s">
        <v>420</v>
      </c>
      <c r="C27" s="62">
        <f>C23+C24+(C21-C18)/32-ISPMT(0.04,1,10,C12)</f>
        <v>4862615.9163124999</v>
      </c>
    </row>
    <row r="28" spans="2:6" x14ac:dyDescent="0.2">
      <c r="B28" s="61" t="s">
        <v>417</v>
      </c>
      <c r="C28" s="64">
        <v>25000</v>
      </c>
      <c r="E28" s="57" t="s">
        <v>421</v>
      </c>
      <c r="F28" s="58"/>
    </row>
    <row r="29" spans="2:6" x14ac:dyDescent="0.2">
      <c r="B29" s="65" t="s">
        <v>419</v>
      </c>
      <c r="C29" s="66">
        <f>C27/C28</f>
        <v>194.50463665249998</v>
      </c>
      <c r="E29" s="59" t="s">
        <v>395</v>
      </c>
      <c r="F29" s="60"/>
    </row>
    <row r="30" spans="2:6" x14ac:dyDescent="0.2">
      <c r="E30" s="61" t="s">
        <v>422</v>
      </c>
      <c r="F30" s="62">
        <f>C37+0.064*C37</f>
        <v>444326.40000000002</v>
      </c>
    </row>
    <row r="31" spans="2:6" x14ac:dyDescent="0.2">
      <c r="B31" t="s">
        <v>391</v>
      </c>
      <c r="C31" s="56"/>
      <c r="E31" s="61" t="s">
        <v>399</v>
      </c>
      <c r="F31" s="62">
        <f>C41+0.064*C41</f>
        <v>5556.9173333333338</v>
      </c>
    </row>
    <row r="32" spans="2:6" x14ac:dyDescent="0.2">
      <c r="E32" s="59" t="s">
        <v>395</v>
      </c>
      <c r="F32" s="62">
        <f>SUM(F30:F31)</f>
        <v>449883.31733333337</v>
      </c>
    </row>
    <row r="33" spans="2:6" x14ac:dyDescent="0.2">
      <c r="B33" s="57" t="s">
        <v>421</v>
      </c>
      <c r="C33" s="58"/>
      <c r="E33" s="61"/>
      <c r="F33" s="60"/>
    </row>
    <row r="34" spans="2:6" x14ac:dyDescent="0.2">
      <c r="B34" s="59" t="s">
        <v>394</v>
      </c>
      <c r="C34" s="60"/>
      <c r="E34" s="59" t="s">
        <v>404</v>
      </c>
      <c r="F34" s="60"/>
    </row>
    <row r="35" spans="2:6" x14ac:dyDescent="0.2">
      <c r="B35" s="61" t="s">
        <v>396</v>
      </c>
      <c r="C35" s="62">
        <v>0</v>
      </c>
      <c r="E35" s="61" t="s">
        <v>406</v>
      </c>
      <c r="F35" s="63">
        <f>0.05*F32</f>
        <v>22494.16586666667</v>
      </c>
    </row>
    <row r="36" spans="2:6" x14ac:dyDescent="0.2">
      <c r="B36" s="61" t="s">
        <v>398</v>
      </c>
      <c r="C36" s="62">
        <v>0</v>
      </c>
      <c r="E36" s="61" t="s">
        <v>407</v>
      </c>
      <c r="F36" s="63">
        <f>0.1*F32</f>
        <v>44988.33173333334</v>
      </c>
    </row>
    <row r="37" spans="2:6" x14ac:dyDescent="0.2">
      <c r="B37" s="61" t="s">
        <v>400</v>
      </c>
      <c r="C37" s="62">
        <v>417600</v>
      </c>
      <c r="E37" s="61" t="s">
        <v>409</v>
      </c>
      <c r="F37" s="63">
        <f>0.15*SUM(F30:F31)</f>
        <v>67482.497600000002</v>
      </c>
    </row>
    <row r="38" spans="2:6" x14ac:dyDescent="0.2">
      <c r="B38" s="61" t="s">
        <v>402</v>
      </c>
      <c r="C38" s="62">
        <v>0</v>
      </c>
      <c r="E38" s="61" t="s">
        <v>410</v>
      </c>
      <c r="F38" s="63">
        <f>0.5*0.06*F32</f>
        <v>13496.499520000001</v>
      </c>
    </row>
    <row r="39" spans="2:6" x14ac:dyDescent="0.2">
      <c r="B39" s="61" t="s">
        <v>403</v>
      </c>
      <c r="C39" s="62">
        <v>0</v>
      </c>
      <c r="E39" s="59" t="s">
        <v>404</v>
      </c>
      <c r="F39" s="63">
        <f>SUM(F35:F38)</f>
        <v>148461.49472000002</v>
      </c>
    </row>
    <row r="40" spans="2:6" x14ac:dyDescent="0.2">
      <c r="B40" s="61" t="s">
        <v>405</v>
      </c>
      <c r="C40" s="62">
        <v>0</v>
      </c>
      <c r="E40" s="61"/>
      <c r="F40" s="60"/>
    </row>
    <row r="41" spans="2:6" x14ac:dyDescent="0.2">
      <c r="B41" s="61" t="s">
        <v>399</v>
      </c>
      <c r="C41" s="62">
        <f>(C53+C54)/6</f>
        <v>5222.666666666667</v>
      </c>
      <c r="E41" s="59" t="s">
        <v>411</v>
      </c>
      <c r="F41" s="62">
        <f>SUM(F32,F39)</f>
        <v>598344.81205333339</v>
      </c>
    </row>
    <row r="42" spans="2:6" x14ac:dyDescent="0.2">
      <c r="B42" s="59" t="s">
        <v>408</v>
      </c>
      <c r="C42" s="62">
        <f>SUM(C35:C41)</f>
        <v>422822.66666666669</v>
      </c>
      <c r="E42" s="59"/>
      <c r="F42" s="62"/>
    </row>
    <row r="43" spans="2:6" x14ac:dyDescent="0.2">
      <c r="B43" s="61"/>
      <c r="C43" s="60"/>
      <c r="E43" s="59" t="s">
        <v>423</v>
      </c>
      <c r="F43" s="62">
        <f>C53+0.064*C53</f>
        <v>33341.504000000001</v>
      </c>
    </row>
    <row r="44" spans="2:6" x14ac:dyDescent="0.2">
      <c r="B44" s="59" t="s">
        <v>404</v>
      </c>
      <c r="C44" s="60"/>
      <c r="E44" s="61"/>
      <c r="F44" s="60"/>
    </row>
    <row r="45" spans="2:6" x14ac:dyDescent="0.2">
      <c r="B45" s="61" t="s">
        <v>406</v>
      </c>
      <c r="C45" s="63">
        <f>0.05*(C42-C41)</f>
        <v>20880</v>
      </c>
      <c r="E45" s="59" t="s">
        <v>414</v>
      </c>
      <c r="F45" s="62"/>
    </row>
    <row r="46" spans="2:6" x14ac:dyDescent="0.2">
      <c r="B46" s="61" t="s">
        <v>407</v>
      </c>
      <c r="C46" s="63">
        <f>0.1*C42</f>
        <v>42282.26666666667</v>
      </c>
      <c r="E46" s="61" t="s">
        <v>415</v>
      </c>
      <c r="F46" s="62">
        <f>F43+(F41-F38)/32-ISPMT(0.04,1,10,F32)</f>
        <v>67813.813190666668</v>
      </c>
    </row>
    <row r="47" spans="2:6" x14ac:dyDescent="0.2">
      <c r="B47" s="61" t="s">
        <v>409</v>
      </c>
      <c r="C47" s="63">
        <f>0.15*SUM(C35:C41)</f>
        <v>63423.4</v>
      </c>
      <c r="E47" s="61" t="s">
        <v>417</v>
      </c>
      <c r="F47" s="64">
        <v>25000</v>
      </c>
    </row>
    <row r="48" spans="2:6" x14ac:dyDescent="0.2">
      <c r="B48" s="61" t="s">
        <v>410</v>
      </c>
      <c r="C48" s="63">
        <f>0.5*0.06*C42</f>
        <v>12684.68</v>
      </c>
      <c r="E48" s="65" t="s">
        <v>419</v>
      </c>
      <c r="F48" s="66">
        <f>F46/F47</f>
        <v>2.7125525276266669</v>
      </c>
    </row>
    <row r="49" spans="2:6" x14ac:dyDescent="0.2">
      <c r="B49" s="59" t="s">
        <v>404</v>
      </c>
      <c r="C49" s="63">
        <f>SUM(C45:C48)</f>
        <v>139270.34666666668</v>
      </c>
    </row>
    <row r="50" spans="2:6" x14ac:dyDescent="0.2">
      <c r="B50" s="61"/>
      <c r="C50" s="60"/>
      <c r="E50" t="s">
        <v>390</v>
      </c>
    </row>
    <row r="51" spans="2:6" x14ac:dyDescent="0.2">
      <c r="B51" s="59" t="s">
        <v>411</v>
      </c>
      <c r="C51" s="62">
        <f>SUM(C42,C49)</f>
        <v>562093.01333333342</v>
      </c>
    </row>
    <row r="52" spans="2:6" x14ac:dyDescent="0.2">
      <c r="B52" s="59"/>
      <c r="C52" s="62"/>
      <c r="E52" s="57" t="s">
        <v>424</v>
      </c>
      <c r="F52" s="58"/>
    </row>
    <row r="53" spans="2:6" x14ac:dyDescent="0.2">
      <c r="B53" s="59" t="s">
        <v>425</v>
      </c>
      <c r="C53" s="62">
        <v>31336</v>
      </c>
      <c r="E53" s="59" t="s">
        <v>395</v>
      </c>
      <c r="F53" s="60"/>
    </row>
    <row r="54" spans="2:6" x14ac:dyDescent="0.2">
      <c r="B54" s="59" t="s">
        <v>416</v>
      </c>
      <c r="C54" s="62">
        <v>0</v>
      </c>
      <c r="E54" s="61" t="s">
        <v>426</v>
      </c>
      <c r="F54" s="62">
        <f>'5MGD 15 Effect Levellized VTE'!B3</f>
        <v>25369589.325787447</v>
      </c>
    </row>
    <row r="55" spans="2:6" x14ac:dyDescent="0.2">
      <c r="B55" s="59"/>
      <c r="C55" s="62"/>
      <c r="E55" s="61" t="s">
        <v>399</v>
      </c>
      <c r="F55" s="62">
        <f>(F67+F68)/6</f>
        <v>1003579.1305761487</v>
      </c>
    </row>
    <row r="56" spans="2:6" x14ac:dyDescent="0.2">
      <c r="B56" s="59" t="s">
        <v>414</v>
      </c>
      <c r="C56" s="62"/>
      <c r="E56" s="59" t="s">
        <v>401</v>
      </c>
      <c r="F56" s="62">
        <f>SUM(F54:F55)</f>
        <v>26373168.456363596</v>
      </c>
    </row>
    <row r="57" spans="2:6" x14ac:dyDescent="0.2">
      <c r="B57" s="61" t="s">
        <v>420</v>
      </c>
      <c r="C57" s="62">
        <f>C53+C54+(C51-C48)/32-ISPMT(0.04,1,10,C42)</f>
        <v>63726.626416666673</v>
      </c>
      <c r="E57" s="61"/>
      <c r="F57" s="60"/>
    </row>
    <row r="58" spans="2:6" x14ac:dyDescent="0.2">
      <c r="B58" s="61" t="s">
        <v>417</v>
      </c>
      <c r="C58" s="64">
        <v>25000</v>
      </c>
      <c r="E58" s="59" t="s">
        <v>404</v>
      </c>
      <c r="F58" s="60"/>
    </row>
    <row r="59" spans="2:6" x14ac:dyDescent="0.2">
      <c r="B59" s="65" t="s">
        <v>419</v>
      </c>
      <c r="C59" s="66">
        <f>C57/C58</f>
        <v>2.5490650566666671</v>
      </c>
      <c r="E59" s="61" t="s">
        <v>406</v>
      </c>
      <c r="F59" s="63">
        <f>0.05*F56</f>
        <v>1318658.4228181799</v>
      </c>
    </row>
    <row r="60" spans="2:6" x14ac:dyDescent="0.2">
      <c r="E60" s="61" t="s">
        <v>407</v>
      </c>
      <c r="F60" s="63">
        <f>0.1*F56</f>
        <v>2637316.8456363599</v>
      </c>
    </row>
    <row r="61" spans="2:6" x14ac:dyDescent="0.2">
      <c r="B61" t="s">
        <v>390</v>
      </c>
      <c r="E61" s="61" t="s">
        <v>409</v>
      </c>
      <c r="F61" s="63">
        <f>0.15*SUM(F54:F55)</f>
        <v>3955975.2684545391</v>
      </c>
    </row>
    <row r="62" spans="2:6" x14ac:dyDescent="0.2">
      <c r="E62" s="61" t="s">
        <v>410</v>
      </c>
      <c r="F62" s="63">
        <f>0.5*0.06*F56</f>
        <v>791195.05369090789</v>
      </c>
    </row>
    <row r="63" spans="2:6" x14ac:dyDescent="0.2">
      <c r="B63" s="57" t="s">
        <v>427</v>
      </c>
      <c r="C63" s="58"/>
      <c r="E63" s="59" t="s">
        <v>404</v>
      </c>
      <c r="F63" s="63">
        <f>SUM(F59:F62)</f>
        <v>8703145.5905999877</v>
      </c>
    </row>
    <row r="64" spans="2:6" x14ac:dyDescent="0.2">
      <c r="B64" s="59" t="s">
        <v>394</v>
      </c>
      <c r="C64" s="60"/>
      <c r="E64" s="61"/>
      <c r="F64" s="60"/>
    </row>
    <row r="65" spans="2:6" x14ac:dyDescent="0.2">
      <c r="B65" s="61" t="s">
        <v>396</v>
      </c>
      <c r="C65" s="62">
        <v>0</v>
      </c>
      <c r="E65" s="59" t="s">
        <v>411</v>
      </c>
      <c r="F65" s="62">
        <f>SUM(F56,F63)</f>
        <v>35076314.046963587</v>
      </c>
    </row>
    <row r="66" spans="2:6" x14ac:dyDescent="0.2">
      <c r="B66" s="61" t="s">
        <v>398</v>
      </c>
      <c r="C66" s="62">
        <v>0</v>
      </c>
      <c r="E66" s="59"/>
      <c r="F66" s="62"/>
    </row>
    <row r="67" spans="2:6" x14ac:dyDescent="0.2">
      <c r="B67" s="61" t="s">
        <v>400</v>
      </c>
      <c r="C67" s="62">
        <v>0</v>
      </c>
      <c r="E67" s="59" t="s">
        <v>428</v>
      </c>
      <c r="F67" s="62">
        <v>0</v>
      </c>
    </row>
    <row r="68" spans="2:6" x14ac:dyDescent="0.2">
      <c r="B68" s="61" t="s">
        <v>402</v>
      </c>
      <c r="C68" s="62">
        <v>28000000</v>
      </c>
      <c r="E68" s="59" t="s">
        <v>429</v>
      </c>
      <c r="F68" s="62">
        <f>'5MGD 15 Effect Levellized VTE'!B25</f>
        <v>6021474.7834568927</v>
      </c>
    </row>
    <row r="69" spans="2:6" x14ac:dyDescent="0.2">
      <c r="B69" s="61" t="s">
        <v>403</v>
      </c>
      <c r="C69" s="62">
        <v>0</v>
      </c>
      <c r="E69" s="61"/>
      <c r="F69" s="60"/>
    </row>
    <row r="70" spans="2:6" x14ac:dyDescent="0.2">
      <c r="B70" s="61" t="s">
        <v>405</v>
      </c>
      <c r="C70" s="62">
        <v>0</v>
      </c>
      <c r="E70" s="59" t="s">
        <v>414</v>
      </c>
      <c r="F70" s="62"/>
    </row>
    <row r="71" spans="2:6" x14ac:dyDescent="0.2">
      <c r="B71" s="61" t="s">
        <v>399</v>
      </c>
      <c r="C71" s="62">
        <f>(C83+C84)/6</f>
        <v>193889.33333333334</v>
      </c>
      <c r="E71" s="61" t="s">
        <v>415</v>
      </c>
      <c r="F71" s="62">
        <f>F67+F68+(F65-F62)/32-ISPMT(0.04,1,10,F56)</f>
        <v>8042318.8164257538</v>
      </c>
    </row>
    <row r="72" spans="2:6" x14ac:dyDescent="0.2">
      <c r="B72" s="59" t="s">
        <v>408</v>
      </c>
      <c r="C72" s="62">
        <f>SUM(C65:C71)</f>
        <v>28193889.333333332</v>
      </c>
      <c r="E72" s="61" t="s">
        <v>417</v>
      </c>
      <c r="F72" s="64">
        <v>5000</v>
      </c>
    </row>
    <row r="73" spans="2:6" x14ac:dyDescent="0.2">
      <c r="B73" s="61"/>
      <c r="C73" s="60"/>
      <c r="E73" s="65" t="s">
        <v>419</v>
      </c>
      <c r="F73" s="66">
        <f>F71/F72</f>
        <v>1608.4637632851507</v>
      </c>
    </row>
    <row r="74" spans="2:6" x14ac:dyDescent="0.2">
      <c r="B74" s="59" t="s">
        <v>404</v>
      </c>
      <c r="C74" s="60"/>
    </row>
    <row r="75" spans="2:6" x14ac:dyDescent="0.2">
      <c r="B75" s="61" t="s">
        <v>406</v>
      </c>
      <c r="C75" s="63">
        <f>0.05*(C72-C71)</f>
        <v>1400000</v>
      </c>
    </row>
    <row r="76" spans="2:6" x14ac:dyDescent="0.2">
      <c r="B76" s="61" t="s">
        <v>407</v>
      </c>
      <c r="C76" s="63">
        <f>0.1*C72</f>
        <v>2819388.9333333336</v>
      </c>
      <c r="E76" s="57" t="s">
        <v>430</v>
      </c>
      <c r="F76" s="58"/>
    </row>
    <row r="77" spans="2:6" x14ac:dyDescent="0.2">
      <c r="B77" s="61" t="s">
        <v>409</v>
      </c>
      <c r="C77" s="63">
        <f>0.15*SUM(C65:C71)</f>
        <v>4229083.3999999994</v>
      </c>
      <c r="E77" s="59" t="s">
        <v>395</v>
      </c>
      <c r="F77" s="60"/>
    </row>
    <row r="78" spans="2:6" x14ac:dyDescent="0.2">
      <c r="B78" s="61" t="s">
        <v>410</v>
      </c>
      <c r="C78" s="63">
        <f>0.5*0.06*C72</f>
        <v>845816.67999999993</v>
      </c>
      <c r="E78" s="61" t="s">
        <v>431</v>
      </c>
      <c r="F78" s="62">
        <v>0</v>
      </c>
    </row>
    <row r="79" spans="2:6" x14ac:dyDescent="0.2">
      <c r="B79" s="59" t="s">
        <v>404</v>
      </c>
      <c r="C79" s="63">
        <f>SUM(C75:C78)</f>
        <v>9294289.0133333318</v>
      </c>
      <c r="E79" s="61" t="s">
        <v>397</v>
      </c>
      <c r="F79" s="62">
        <f>C95+0.064*C95</f>
        <v>16841203.736000001</v>
      </c>
    </row>
    <row r="80" spans="2:6" x14ac:dyDescent="0.2">
      <c r="B80" s="61"/>
      <c r="C80" s="60"/>
      <c r="E80" s="61" t="s">
        <v>422</v>
      </c>
      <c r="F80" s="62">
        <f>C96+0.064*C96</f>
        <v>222163.20000000001</v>
      </c>
    </row>
    <row r="81" spans="2:6" x14ac:dyDescent="0.2">
      <c r="B81" s="59" t="s">
        <v>411</v>
      </c>
      <c r="C81" s="62">
        <f>SUM(C72,C79)</f>
        <v>37488178.346666664</v>
      </c>
      <c r="E81" s="61" t="s">
        <v>432</v>
      </c>
      <c r="F81" s="62">
        <f>'5MGD 15 Effect Levellized VTE'!B3</f>
        <v>25369589.325787447</v>
      </c>
    </row>
    <row r="82" spans="2:6" x14ac:dyDescent="0.2">
      <c r="B82" s="59"/>
      <c r="C82" s="62"/>
      <c r="E82" s="61" t="s">
        <v>433</v>
      </c>
      <c r="F82" s="62">
        <v>0</v>
      </c>
    </row>
    <row r="83" spans="2:6" x14ac:dyDescent="0.2">
      <c r="B83" s="59" t="s">
        <v>434</v>
      </c>
      <c r="C83" s="62">
        <v>0</v>
      </c>
      <c r="E83" s="61" t="s">
        <v>435</v>
      </c>
      <c r="F83" s="62">
        <f>C99+0.064*C99</f>
        <v>331968</v>
      </c>
    </row>
    <row r="84" spans="2:6" x14ac:dyDescent="0.2">
      <c r="B84" s="59" t="s">
        <v>436</v>
      </c>
      <c r="C84" s="62">
        <v>1163336</v>
      </c>
      <c r="E84" s="61" t="s">
        <v>399</v>
      </c>
      <c r="F84" s="62">
        <f>C100+0.064*C100</f>
        <v>209076.70933333333</v>
      </c>
    </row>
    <row r="85" spans="2:6" x14ac:dyDescent="0.2">
      <c r="B85" s="59"/>
      <c r="C85" s="62"/>
      <c r="E85" s="59" t="s">
        <v>395</v>
      </c>
      <c r="F85" s="62">
        <f>SUM(F78:F84)</f>
        <v>42974000.971120775</v>
      </c>
    </row>
    <row r="86" spans="2:6" x14ac:dyDescent="0.2">
      <c r="B86" s="59" t="s">
        <v>414</v>
      </c>
      <c r="C86" s="62"/>
      <c r="E86" s="61"/>
      <c r="F86" s="60"/>
    </row>
    <row r="87" spans="2:6" x14ac:dyDescent="0.2">
      <c r="B87" s="61" t="s">
        <v>420</v>
      </c>
      <c r="C87" s="62">
        <f>C83+C84+(C81-C78)/32-ISPMT(0.04,1,10,C72)</f>
        <v>3323389.8180833329</v>
      </c>
      <c r="E87" s="59" t="s">
        <v>404</v>
      </c>
      <c r="F87" s="60"/>
    </row>
    <row r="88" spans="2:6" x14ac:dyDescent="0.2">
      <c r="B88" s="61" t="s">
        <v>417</v>
      </c>
      <c r="C88" s="64">
        <v>5000</v>
      </c>
      <c r="E88" s="61" t="s">
        <v>406</v>
      </c>
      <c r="F88" s="63">
        <f>0.05*F85</f>
        <v>2148700.0485560386</v>
      </c>
    </row>
    <row r="89" spans="2:6" x14ac:dyDescent="0.2">
      <c r="B89" s="65" t="s">
        <v>419</v>
      </c>
      <c r="C89" s="66">
        <f>C87/C88</f>
        <v>664.6779636166666</v>
      </c>
      <c r="E89" s="61" t="s">
        <v>407</v>
      </c>
      <c r="F89" s="63">
        <f>0.1*F85</f>
        <v>4297400.0971120773</v>
      </c>
    </row>
    <row r="90" spans="2:6" x14ac:dyDescent="0.2">
      <c r="E90" s="61" t="s">
        <v>409</v>
      </c>
      <c r="F90" s="63">
        <f>0.15*SUM(F78:F84)</f>
        <v>6446100.1456681164</v>
      </c>
    </row>
    <row r="91" spans="2:6" x14ac:dyDescent="0.2">
      <c r="E91" s="61" t="s">
        <v>410</v>
      </c>
      <c r="F91" s="63">
        <f>0.5*0.06*F85</f>
        <v>1289220.0291336232</v>
      </c>
    </row>
    <row r="92" spans="2:6" x14ac:dyDescent="0.2">
      <c r="B92" s="57" t="s">
        <v>430</v>
      </c>
      <c r="C92" s="58"/>
      <c r="E92" s="59" t="s">
        <v>404</v>
      </c>
      <c r="F92" s="63">
        <f>SUM(F88:F91)</f>
        <v>14181420.320469854</v>
      </c>
    </row>
    <row r="93" spans="2:6" x14ac:dyDescent="0.2">
      <c r="B93" s="59" t="s">
        <v>394</v>
      </c>
      <c r="C93" s="60"/>
      <c r="E93" s="61"/>
      <c r="F93" s="60"/>
    </row>
    <row r="94" spans="2:6" x14ac:dyDescent="0.2">
      <c r="B94" s="61" t="s">
        <v>437</v>
      </c>
      <c r="C94" s="62">
        <v>0</v>
      </c>
      <c r="E94" s="59" t="s">
        <v>411</v>
      </c>
      <c r="F94" s="62">
        <f>SUM(F85,F92)</f>
        <v>57155421.291590631</v>
      </c>
    </row>
    <row r="95" spans="2:6" x14ac:dyDescent="0.2">
      <c r="B95" s="61" t="s">
        <v>398</v>
      </c>
      <c r="C95" s="62">
        <v>15828199</v>
      </c>
      <c r="E95" s="59"/>
      <c r="F95" s="62"/>
    </row>
    <row r="96" spans="2:6" x14ac:dyDescent="0.2">
      <c r="B96" s="61" t="s">
        <v>400</v>
      </c>
      <c r="C96" s="62">
        <v>208800</v>
      </c>
      <c r="E96" s="59" t="s">
        <v>412</v>
      </c>
      <c r="F96" s="62">
        <f>C112+0.064*C112</f>
        <v>1274051.6880000001</v>
      </c>
    </row>
    <row r="97" spans="2:7" x14ac:dyDescent="0.2">
      <c r="B97" s="61" t="s">
        <v>438</v>
      </c>
      <c r="C97" s="62">
        <v>28000000</v>
      </c>
      <c r="E97" s="59" t="s">
        <v>423</v>
      </c>
      <c r="F97" s="62">
        <f>C113+0.064*C113</f>
        <v>16670.752</v>
      </c>
    </row>
    <row r="98" spans="2:7" x14ac:dyDescent="0.2">
      <c r="B98" s="61" t="s">
        <v>403</v>
      </c>
      <c r="C98" s="62">
        <v>0</v>
      </c>
      <c r="E98" s="59" t="s">
        <v>429</v>
      </c>
      <c r="F98" s="62">
        <f>'5MGD 15 Effect Levellized VTE'!B25</f>
        <v>6021474.7834568927</v>
      </c>
    </row>
    <row r="99" spans="2:7" x14ac:dyDescent="0.2">
      <c r="B99" s="61" t="s">
        <v>405</v>
      </c>
      <c r="C99" s="62">
        <v>312000</v>
      </c>
      <c r="E99" s="61"/>
      <c r="F99" s="60"/>
    </row>
    <row r="100" spans="2:7" x14ac:dyDescent="0.2">
      <c r="B100" s="61" t="s">
        <v>399</v>
      </c>
      <c r="C100" s="62">
        <f>(C113+C114)/6</f>
        <v>196500.66666666666</v>
      </c>
      <c r="E100" s="59" t="s">
        <v>414</v>
      </c>
      <c r="F100" s="62"/>
    </row>
    <row r="101" spans="2:7" x14ac:dyDescent="0.2">
      <c r="B101" s="59" t="s">
        <v>408</v>
      </c>
      <c r="C101" s="62">
        <f>SUM(C94:C100)</f>
        <v>44545499.666666664</v>
      </c>
      <c r="E101" s="61" t="s">
        <v>415</v>
      </c>
      <c r="F101" s="62">
        <f>F96+F97+F98+(F94-F91)/32-ISPMT(0.04,1,10,F85)</f>
        <v>10605080.047869023</v>
      </c>
    </row>
    <row r="102" spans="2:7" x14ac:dyDescent="0.2">
      <c r="B102" s="61"/>
      <c r="C102" s="60"/>
      <c r="E102" s="61" t="s">
        <v>417</v>
      </c>
      <c r="F102" s="64">
        <v>17000</v>
      </c>
    </row>
    <row r="103" spans="2:7" x14ac:dyDescent="0.2">
      <c r="B103" s="59" t="s">
        <v>404</v>
      </c>
      <c r="C103" s="60"/>
      <c r="E103" s="65" t="s">
        <v>419</v>
      </c>
      <c r="F103" s="66">
        <f>F101/F102</f>
        <v>623.8282381099425</v>
      </c>
    </row>
    <row r="104" spans="2:7" x14ac:dyDescent="0.2">
      <c r="B104" s="61" t="s">
        <v>406</v>
      </c>
      <c r="C104" s="63">
        <f>0.05*(C101-C100)</f>
        <v>2217449.9500000002</v>
      </c>
    </row>
    <row r="105" spans="2:7" x14ac:dyDescent="0.2">
      <c r="B105" s="61" t="s">
        <v>407</v>
      </c>
      <c r="C105" s="63">
        <f>0.1*C101</f>
        <v>4454549.9666666668</v>
      </c>
    </row>
    <row r="106" spans="2:7" x14ac:dyDescent="0.2">
      <c r="B106" s="61" t="s">
        <v>409</v>
      </c>
      <c r="C106" s="63">
        <f>0.15*SUM(C94:C100)</f>
        <v>6681824.9499999993</v>
      </c>
      <c r="E106" s="67"/>
      <c r="F106" s="68"/>
      <c r="G106" s="68"/>
    </row>
    <row r="107" spans="2:7" x14ac:dyDescent="0.2">
      <c r="B107" s="61" t="s">
        <v>410</v>
      </c>
      <c r="C107" s="63">
        <f>0.5*0.06*C101</f>
        <v>1336364.99</v>
      </c>
      <c r="E107" s="67"/>
      <c r="F107" s="68"/>
      <c r="G107" s="68"/>
    </row>
    <row r="108" spans="2:7" x14ac:dyDescent="0.2">
      <c r="B108" s="59" t="s">
        <v>404</v>
      </c>
      <c r="C108" s="63">
        <f>SUM(C104:C107)</f>
        <v>14690189.856666667</v>
      </c>
      <c r="E108" s="69"/>
      <c r="F108" s="56"/>
      <c r="G108" s="68"/>
    </row>
    <row r="109" spans="2:7" x14ac:dyDescent="0.2">
      <c r="B109" s="61"/>
      <c r="C109" s="60"/>
      <c r="E109" s="69"/>
      <c r="F109" s="56"/>
      <c r="G109" s="68"/>
    </row>
    <row r="110" spans="2:7" x14ac:dyDescent="0.2">
      <c r="B110" s="59" t="s">
        <v>411</v>
      </c>
      <c r="C110" s="62">
        <f>SUM(C101,C108)</f>
        <v>59235689.523333333</v>
      </c>
      <c r="E110" s="69"/>
      <c r="F110" s="56"/>
      <c r="G110" s="68"/>
    </row>
    <row r="111" spans="2:7" x14ac:dyDescent="0.2">
      <c r="B111" s="59"/>
      <c r="C111" s="62"/>
      <c r="E111" s="69"/>
      <c r="F111" s="56"/>
      <c r="G111" s="68"/>
    </row>
    <row r="112" spans="2:7" x14ac:dyDescent="0.2">
      <c r="B112" s="59" t="s">
        <v>416</v>
      </c>
      <c r="C112" s="62">
        <v>1197417</v>
      </c>
      <c r="E112" s="69"/>
      <c r="F112" s="56"/>
      <c r="G112" s="68"/>
    </row>
    <row r="113" spans="1:10" x14ac:dyDescent="0.2">
      <c r="B113" s="59" t="s">
        <v>425</v>
      </c>
      <c r="C113" s="62">
        <v>15668</v>
      </c>
      <c r="E113" s="69"/>
      <c r="F113" s="56"/>
      <c r="G113" s="68"/>
    </row>
    <row r="114" spans="1:10" x14ac:dyDescent="0.2">
      <c r="B114" s="59" t="s">
        <v>436</v>
      </c>
      <c r="C114" s="62">
        <v>1163336</v>
      </c>
      <c r="E114" s="69"/>
      <c r="F114" s="56"/>
      <c r="G114" s="68"/>
    </row>
    <row r="115" spans="1:10" x14ac:dyDescent="0.2">
      <c r="B115" s="59"/>
      <c r="C115" s="62"/>
      <c r="E115" s="67"/>
      <c r="F115" s="56"/>
      <c r="G115" s="68"/>
    </row>
    <row r="116" spans="1:10" x14ac:dyDescent="0.2">
      <c r="B116" s="59" t="s">
        <v>414</v>
      </c>
      <c r="C116" s="62"/>
      <c r="E116" s="69"/>
      <c r="F116" s="68"/>
      <c r="G116" s="68"/>
    </row>
    <row r="117" spans="1:10" x14ac:dyDescent="0.2">
      <c r="B117" s="61" t="s">
        <v>420</v>
      </c>
      <c r="C117" s="62">
        <f>C112+C113+C114+(C110-C107)/32-ISPMT(0.04,1,10,C101)</f>
        <v>5789412.8796666665</v>
      </c>
      <c r="E117" s="67"/>
      <c r="F117" s="68"/>
      <c r="G117" s="68"/>
    </row>
    <row r="118" spans="1:10" x14ac:dyDescent="0.2">
      <c r="B118" s="61" t="s">
        <v>417</v>
      </c>
      <c r="C118" s="64">
        <v>17000</v>
      </c>
      <c r="E118" s="69"/>
      <c r="F118" s="70"/>
      <c r="G118" s="68"/>
    </row>
    <row r="119" spans="1:10" x14ac:dyDescent="0.2">
      <c r="B119" s="65" t="s">
        <v>419</v>
      </c>
      <c r="C119" s="66">
        <f>C117/C118</f>
        <v>340.55369880392158</v>
      </c>
      <c r="E119" s="69"/>
      <c r="F119" s="70"/>
      <c r="G119" s="68"/>
      <c r="H119" s="68"/>
      <c r="I119" s="68"/>
      <c r="J119" s="68"/>
    </row>
    <row r="120" spans="1:10" x14ac:dyDescent="0.2">
      <c r="E120" s="69"/>
      <c r="F120" s="70"/>
      <c r="G120" s="68"/>
      <c r="H120" s="68"/>
      <c r="I120" s="68"/>
      <c r="J120" s="68"/>
    </row>
    <row r="121" spans="1:10" x14ac:dyDescent="0.2">
      <c r="A121" s="68"/>
      <c r="B121" s="68"/>
      <c r="C121" s="68"/>
      <c r="D121" s="68"/>
      <c r="E121" s="69"/>
      <c r="F121" s="70"/>
      <c r="G121" s="68"/>
      <c r="H121" s="67"/>
      <c r="I121" s="68"/>
      <c r="J121" s="68"/>
    </row>
    <row r="122" spans="1:10" x14ac:dyDescent="0.2">
      <c r="A122" s="68"/>
      <c r="B122" s="67"/>
      <c r="C122" s="68"/>
      <c r="D122" s="68"/>
      <c r="E122" s="67"/>
      <c r="F122" s="70"/>
      <c r="G122" s="68"/>
      <c r="H122" s="67"/>
      <c r="I122" s="68"/>
      <c r="J122" s="68"/>
    </row>
    <row r="123" spans="1:10" x14ac:dyDescent="0.2">
      <c r="A123" s="68"/>
      <c r="B123" s="67"/>
      <c r="C123" s="68"/>
      <c r="D123" s="68"/>
      <c r="E123" s="69"/>
      <c r="F123" s="68"/>
      <c r="G123" s="68"/>
      <c r="H123" s="69"/>
      <c r="I123" s="56"/>
      <c r="J123" s="68"/>
    </row>
    <row r="124" spans="1:10" x14ac:dyDescent="0.2">
      <c r="A124" s="68"/>
      <c r="B124" s="69"/>
      <c r="C124" s="56"/>
      <c r="D124" s="68"/>
      <c r="E124" s="67"/>
      <c r="F124" s="56"/>
      <c r="G124" s="68"/>
      <c r="H124" s="69"/>
      <c r="I124" s="56"/>
      <c r="J124" s="68"/>
    </row>
    <row r="125" spans="1:10" x14ac:dyDescent="0.2">
      <c r="A125" s="68"/>
      <c r="B125" s="69"/>
      <c r="C125" s="56"/>
      <c r="D125" s="68"/>
      <c r="E125" s="67"/>
      <c r="F125" s="56"/>
      <c r="G125" s="68"/>
      <c r="H125" s="67"/>
      <c r="I125" s="56"/>
      <c r="J125" s="68"/>
    </row>
    <row r="126" spans="1:10" x14ac:dyDescent="0.2">
      <c r="A126" s="68"/>
      <c r="B126" s="69"/>
      <c r="C126" s="56"/>
      <c r="D126" s="68"/>
      <c r="E126" s="67"/>
      <c r="F126" s="56"/>
      <c r="G126" s="68"/>
      <c r="H126" s="69"/>
      <c r="I126" s="68"/>
      <c r="J126" s="68"/>
    </row>
    <row r="127" spans="1:10" x14ac:dyDescent="0.2">
      <c r="A127" s="68"/>
      <c r="B127" s="69"/>
      <c r="C127" s="56"/>
      <c r="D127" s="68"/>
      <c r="E127" s="67"/>
      <c r="F127" s="56"/>
      <c r="G127" s="68"/>
      <c r="H127" s="67"/>
      <c r="I127" s="68"/>
      <c r="J127" s="68"/>
    </row>
    <row r="128" spans="1:10" x14ac:dyDescent="0.2">
      <c r="A128" s="68"/>
      <c r="B128" s="69"/>
      <c r="C128" s="56"/>
      <c r="D128" s="68"/>
      <c r="E128" s="67"/>
      <c r="F128" s="56"/>
      <c r="G128" s="68"/>
      <c r="H128" s="69"/>
      <c r="I128" s="70"/>
      <c r="J128" s="68"/>
    </row>
    <row r="129" spans="1:10" x14ac:dyDescent="0.2">
      <c r="A129" s="68"/>
      <c r="B129" s="69"/>
      <c r="C129" s="56"/>
      <c r="D129" s="68"/>
      <c r="E129" s="69"/>
      <c r="F129" s="68"/>
      <c r="G129" s="68"/>
      <c r="H129" s="69"/>
      <c r="I129" s="70"/>
      <c r="J129" s="68"/>
    </row>
    <row r="130" spans="1:10" x14ac:dyDescent="0.2">
      <c r="A130" s="68"/>
      <c r="B130" s="69"/>
      <c r="C130" s="56"/>
      <c r="D130" s="68"/>
      <c r="E130" s="67"/>
      <c r="F130" s="56"/>
      <c r="G130" s="68"/>
      <c r="H130" s="69"/>
      <c r="I130" s="70"/>
      <c r="J130" s="68"/>
    </row>
    <row r="131" spans="1:10" x14ac:dyDescent="0.2">
      <c r="A131" s="68"/>
      <c r="B131" s="67"/>
      <c r="C131" s="56"/>
      <c r="D131" s="68"/>
      <c r="E131" s="69"/>
      <c r="F131" s="56"/>
      <c r="G131" s="68"/>
      <c r="H131" s="69"/>
      <c r="I131" s="70"/>
      <c r="J131" s="68"/>
    </row>
    <row r="132" spans="1:10" x14ac:dyDescent="0.2">
      <c r="A132" s="68"/>
      <c r="B132" s="69"/>
      <c r="C132" s="68"/>
      <c r="D132" s="68"/>
      <c r="E132" s="69"/>
      <c r="F132" s="71"/>
      <c r="G132" s="68"/>
      <c r="H132" s="67"/>
      <c r="I132" s="70"/>
      <c r="J132" s="68"/>
    </row>
    <row r="133" spans="1:10" x14ac:dyDescent="0.2">
      <c r="A133" s="68"/>
      <c r="B133" s="67"/>
      <c r="C133" s="68"/>
      <c r="D133" s="68"/>
      <c r="E133" s="67"/>
      <c r="F133" s="56"/>
      <c r="G133" s="68"/>
      <c r="H133" s="67"/>
      <c r="I133" s="56"/>
      <c r="J133" s="68"/>
    </row>
    <row r="134" spans="1:10" x14ac:dyDescent="0.2">
      <c r="A134" s="68"/>
      <c r="B134" s="69"/>
      <c r="C134" s="70"/>
      <c r="D134" s="68"/>
      <c r="E134" s="68"/>
      <c r="F134" s="68"/>
      <c r="G134" s="68"/>
      <c r="H134" s="67"/>
      <c r="I134" s="56"/>
      <c r="J134" s="68"/>
    </row>
    <row r="135" spans="1:10" x14ac:dyDescent="0.2">
      <c r="A135" s="68"/>
      <c r="B135" s="69"/>
      <c r="C135" s="70"/>
      <c r="D135" s="68"/>
      <c r="G135" s="68"/>
      <c r="H135" s="67"/>
      <c r="I135" s="56"/>
      <c r="J135" s="68"/>
    </row>
    <row r="136" spans="1:10" x14ac:dyDescent="0.2">
      <c r="A136" s="68"/>
      <c r="B136" s="69"/>
      <c r="C136" s="70"/>
      <c r="D136" s="68"/>
      <c r="G136" s="68"/>
      <c r="H136" s="69"/>
      <c r="I136" s="68"/>
      <c r="J136" s="68"/>
    </row>
    <row r="137" spans="1:10" x14ac:dyDescent="0.2">
      <c r="A137" s="68"/>
      <c r="B137" s="69"/>
      <c r="C137" s="70"/>
      <c r="D137" s="68"/>
      <c r="G137" s="68"/>
      <c r="H137" s="67"/>
      <c r="I137" s="56"/>
      <c r="J137" s="68"/>
    </row>
    <row r="138" spans="1:10" x14ac:dyDescent="0.2">
      <c r="A138" s="68"/>
      <c r="B138" s="67"/>
      <c r="C138" s="70"/>
      <c r="D138" s="68"/>
      <c r="G138" s="68"/>
      <c r="H138" s="69"/>
      <c r="I138" s="56"/>
      <c r="J138" s="68"/>
    </row>
    <row r="139" spans="1:10" x14ac:dyDescent="0.2">
      <c r="A139" s="68"/>
      <c r="B139" s="69"/>
      <c r="C139" s="68"/>
      <c r="D139" s="68"/>
      <c r="G139" s="68"/>
      <c r="H139" s="69"/>
      <c r="I139" s="71"/>
      <c r="J139" s="68"/>
    </row>
    <row r="140" spans="1:10" x14ac:dyDescent="0.2">
      <c r="A140" s="68"/>
      <c r="B140" s="67"/>
      <c r="C140" s="56"/>
      <c r="D140" s="68"/>
      <c r="G140" s="68"/>
      <c r="H140" s="67"/>
      <c r="I140" s="56"/>
      <c r="J140" s="68"/>
    </row>
    <row r="141" spans="1:10" x14ac:dyDescent="0.2">
      <c r="A141" s="68"/>
      <c r="B141" s="67"/>
      <c r="C141" s="56"/>
      <c r="D141" s="68"/>
      <c r="G141" s="68"/>
      <c r="H141" s="68"/>
      <c r="I141" s="68"/>
      <c r="J141" s="68"/>
    </row>
    <row r="142" spans="1:10" x14ac:dyDescent="0.2">
      <c r="A142" s="68"/>
      <c r="B142" s="67"/>
      <c r="C142" s="56"/>
      <c r="D142" s="68"/>
      <c r="G142" s="68"/>
      <c r="H142" s="68"/>
      <c r="I142" s="68"/>
      <c r="J142" s="68"/>
    </row>
    <row r="143" spans="1:10" x14ac:dyDescent="0.2">
      <c r="A143" s="68"/>
      <c r="B143" s="67"/>
      <c r="C143" s="56"/>
      <c r="D143" s="68"/>
    </row>
    <row r="144" spans="1:10" x14ac:dyDescent="0.2">
      <c r="A144" s="68"/>
      <c r="B144" s="67"/>
      <c r="C144" s="56"/>
      <c r="D144" s="68"/>
    </row>
    <row r="145" spans="1:4" x14ac:dyDescent="0.2">
      <c r="A145" s="68"/>
      <c r="B145" s="67"/>
      <c r="C145" s="56"/>
      <c r="D145" s="68"/>
    </row>
    <row r="146" spans="1:4" x14ac:dyDescent="0.2">
      <c r="A146" s="68"/>
      <c r="B146" s="67"/>
      <c r="C146" s="56"/>
      <c r="D146" s="68"/>
    </row>
    <row r="147" spans="1:4" x14ac:dyDescent="0.2">
      <c r="A147" s="68"/>
      <c r="B147" s="69"/>
      <c r="C147" s="56"/>
      <c r="D147" s="68"/>
    </row>
    <row r="148" spans="1:4" x14ac:dyDescent="0.2">
      <c r="A148" s="68"/>
      <c r="B148" s="69"/>
      <c r="C148" s="71"/>
      <c r="D148" s="68"/>
    </row>
    <row r="149" spans="1:4" x14ac:dyDescent="0.2">
      <c r="A149" s="68"/>
      <c r="B149" s="67"/>
      <c r="C149" s="56"/>
      <c r="D149" s="68"/>
    </row>
    <row r="150" spans="1:4" x14ac:dyDescent="0.2">
      <c r="A150" s="68"/>
      <c r="B150" s="68"/>
      <c r="C150" s="68"/>
      <c r="D150" s="68"/>
    </row>
    <row r="151" spans="1:4" x14ac:dyDescent="0.2">
      <c r="A151" s="68"/>
      <c r="B151" s="68"/>
      <c r="C151" s="68"/>
      <c r="D151" s="68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8"/>
  <sheetViews>
    <sheetView zoomScale="90" zoomScaleNormal="90" workbookViewId="0">
      <pane ySplit="1" topLeftCell="A2" activePane="bottomLeft" state="frozen"/>
      <selection pane="bottomLeft" activeCell="F38" sqref="F38"/>
    </sheetView>
  </sheetViews>
  <sheetFormatPr defaultColWidth="11.85546875" defaultRowHeight="12.75" x14ac:dyDescent="0.2"/>
  <cols>
    <col min="1" max="1" width="60" customWidth="1"/>
    <col min="2" max="2" width="7.85546875" customWidth="1"/>
    <col min="3" max="3" width="16.28515625" customWidth="1"/>
    <col min="4" max="4" width="14.5703125" customWidth="1"/>
    <col min="5" max="5" width="16.42578125" customWidth="1"/>
    <col min="6" max="6" width="16" customWidth="1"/>
    <col min="7" max="7" width="17.140625" customWidth="1"/>
    <col min="8" max="8" width="17.42578125" customWidth="1"/>
    <col min="9" max="11" width="17.5703125" customWidth="1"/>
    <col min="12" max="12" width="17.42578125" customWidth="1"/>
    <col min="13" max="13" width="18" customWidth="1"/>
    <col min="14" max="14" width="17.5703125" customWidth="1"/>
    <col min="15" max="15" width="18.5703125" customWidth="1"/>
    <col min="16" max="16" width="18.42578125" customWidth="1"/>
    <col min="17" max="17" width="18.85546875" customWidth="1"/>
    <col min="18" max="18" width="18.5703125" customWidth="1"/>
    <col min="19" max="19" width="19.140625" customWidth="1"/>
    <col min="20" max="21" width="18.85546875" customWidth="1"/>
    <col min="22" max="22" width="18.42578125" customWidth="1"/>
    <col min="23" max="23" width="18.85546875" customWidth="1"/>
    <col min="24" max="24" width="18.42578125" customWidth="1"/>
    <col min="25" max="25" width="18.7109375" customWidth="1"/>
    <col min="26" max="26" width="19" customWidth="1"/>
    <col min="27" max="27" width="19.140625" customWidth="1"/>
    <col min="28" max="29" width="19" customWidth="1"/>
    <col min="30" max="30" width="18.7109375" customWidth="1"/>
    <col min="31" max="31" width="18.42578125" customWidth="1"/>
    <col min="32" max="32" width="18.7109375" customWidth="1"/>
    <col min="33" max="33" width="19" customWidth="1"/>
    <col min="34" max="34" width="18.42578125" customWidth="1"/>
    <col min="35" max="35" width="18.85546875" customWidth="1"/>
    <col min="36" max="37" width="18.42578125" customWidth="1"/>
    <col min="38" max="38" width="19" customWidth="1"/>
    <col min="39" max="60" width="18.5703125" customWidth="1"/>
    <col min="61" max="61" width="6.42578125" customWidth="1"/>
  </cols>
  <sheetData>
    <row r="1" spans="1:61" x14ac:dyDescent="0.2">
      <c r="A1" t="s">
        <v>2</v>
      </c>
      <c r="B1" t="s">
        <v>511</v>
      </c>
      <c r="C1">
        <v>2020</v>
      </c>
      <c r="D1" s="3">
        <f t="shared" ref="D1:BH1" si="0">C1+1</f>
        <v>2021</v>
      </c>
      <c r="E1" s="3">
        <f t="shared" si="0"/>
        <v>2022</v>
      </c>
      <c r="F1" s="3">
        <f t="shared" si="0"/>
        <v>2023</v>
      </c>
      <c r="G1" s="3">
        <f t="shared" si="0"/>
        <v>2024</v>
      </c>
      <c r="H1" s="3">
        <f t="shared" si="0"/>
        <v>2025</v>
      </c>
      <c r="I1" s="3">
        <f t="shared" si="0"/>
        <v>2026</v>
      </c>
      <c r="J1" s="3">
        <f t="shared" si="0"/>
        <v>2027</v>
      </c>
      <c r="K1" s="3">
        <f t="shared" si="0"/>
        <v>2028</v>
      </c>
      <c r="L1" s="3">
        <f t="shared" si="0"/>
        <v>2029</v>
      </c>
      <c r="M1" s="3">
        <f t="shared" si="0"/>
        <v>2030</v>
      </c>
      <c r="N1" s="3">
        <f t="shared" si="0"/>
        <v>2031</v>
      </c>
      <c r="O1" s="3">
        <f t="shared" si="0"/>
        <v>2032</v>
      </c>
      <c r="P1" s="3">
        <f t="shared" si="0"/>
        <v>2033</v>
      </c>
      <c r="Q1" s="3">
        <f t="shared" si="0"/>
        <v>2034</v>
      </c>
      <c r="R1" s="3">
        <f t="shared" si="0"/>
        <v>2035</v>
      </c>
      <c r="S1" s="3">
        <f t="shared" si="0"/>
        <v>2036</v>
      </c>
      <c r="T1" s="3">
        <f t="shared" si="0"/>
        <v>2037</v>
      </c>
      <c r="U1" s="3">
        <f t="shared" si="0"/>
        <v>2038</v>
      </c>
      <c r="V1" s="3">
        <f t="shared" si="0"/>
        <v>2039</v>
      </c>
      <c r="W1" s="3">
        <f t="shared" si="0"/>
        <v>2040</v>
      </c>
      <c r="X1" s="3">
        <f t="shared" si="0"/>
        <v>2041</v>
      </c>
      <c r="Y1" s="3">
        <f t="shared" si="0"/>
        <v>2042</v>
      </c>
      <c r="Z1" s="3">
        <f t="shared" si="0"/>
        <v>2043</v>
      </c>
      <c r="AA1" s="3">
        <f t="shared" si="0"/>
        <v>2044</v>
      </c>
      <c r="AB1" s="3">
        <f t="shared" si="0"/>
        <v>2045</v>
      </c>
      <c r="AC1" s="3">
        <f t="shared" si="0"/>
        <v>2046</v>
      </c>
      <c r="AD1" s="3">
        <f t="shared" si="0"/>
        <v>2047</v>
      </c>
      <c r="AE1" s="3">
        <f t="shared" si="0"/>
        <v>2048</v>
      </c>
      <c r="AF1" s="3">
        <f t="shared" si="0"/>
        <v>2049</v>
      </c>
      <c r="AG1" s="3">
        <f t="shared" si="0"/>
        <v>2050</v>
      </c>
      <c r="AH1" s="3">
        <f t="shared" si="0"/>
        <v>2051</v>
      </c>
      <c r="AI1" s="3">
        <f t="shared" si="0"/>
        <v>2052</v>
      </c>
      <c r="AJ1" s="3">
        <f t="shared" si="0"/>
        <v>2053</v>
      </c>
      <c r="AK1" s="3">
        <f t="shared" si="0"/>
        <v>2054</v>
      </c>
      <c r="AL1" s="3">
        <f t="shared" si="0"/>
        <v>2055</v>
      </c>
      <c r="AM1" s="3">
        <f t="shared" si="0"/>
        <v>2056</v>
      </c>
      <c r="AN1" s="3">
        <f t="shared" si="0"/>
        <v>2057</v>
      </c>
      <c r="AO1" s="3">
        <f t="shared" si="0"/>
        <v>2058</v>
      </c>
      <c r="AP1" s="3">
        <f t="shared" si="0"/>
        <v>2059</v>
      </c>
      <c r="AQ1" s="3">
        <f t="shared" si="0"/>
        <v>2060</v>
      </c>
      <c r="AR1" s="3">
        <f t="shared" si="0"/>
        <v>2061</v>
      </c>
      <c r="AS1" s="3">
        <f t="shared" si="0"/>
        <v>2062</v>
      </c>
      <c r="AT1" s="3">
        <f t="shared" si="0"/>
        <v>2063</v>
      </c>
      <c r="AU1" s="3">
        <f t="shared" si="0"/>
        <v>2064</v>
      </c>
      <c r="AV1" s="3">
        <f t="shared" si="0"/>
        <v>2065</v>
      </c>
      <c r="AW1" s="3">
        <f t="shared" si="0"/>
        <v>2066</v>
      </c>
      <c r="AX1" s="3">
        <f t="shared" si="0"/>
        <v>2067</v>
      </c>
      <c r="AY1" s="3">
        <f t="shared" si="0"/>
        <v>2068</v>
      </c>
      <c r="AZ1" s="3">
        <f t="shared" si="0"/>
        <v>2069</v>
      </c>
      <c r="BA1" s="3">
        <f t="shared" si="0"/>
        <v>2070</v>
      </c>
      <c r="BB1" s="3">
        <f t="shared" si="0"/>
        <v>2071</v>
      </c>
      <c r="BC1" s="3">
        <f t="shared" si="0"/>
        <v>2072</v>
      </c>
      <c r="BD1" s="3">
        <f t="shared" si="0"/>
        <v>2073</v>
      </c>
      <c r="BE1" s="3">
        <f t="shared" si="0"/>
        <v>2074</v>
      </c>
      <c r="BF1" s="3">
        <f t="shared" si="0"/>
        <v>2075</v>
      </c>
      <c r="BG1" s="3">
        <f t="shared" si="0"/>
        <v>2076</v>
      </c>
      <c r="BH1" s="3">
        <f t="shared" si="0"/>
        <v>2077</v>
      </c>
      <c r="BI1" s="3"/>
    </row>
    <row r="2" spans="1:61" x14ac:dyDescent="0.2">
      <c r="A2" t="s">
        <v>595</v>
      </c>
      <c r="C2" s="177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3"/>
    </row>
    <row r="3" spans="1:61" x14ac:dyDescent="0.2">
      <c r="A3" t="s">
        <v>596</v>
      </c>
      <c r="C3" s="173"/>
      <c r="D3" s="173"/>
      <c r="E3" s="173"/>
      <c r="F3" s="173"/>
      <c r="G3" s="173"/>
      <c r="H3" s="173"/>
    </row>
    <row r="4" spans="1:61" s="74" customFormat="1" hidden="1" x14ac:dyDescent="0.2">
      <c r="A4" s="74" t="s">
        <v>3</v>
      </c>
      <c r="B4" s="121"/>
      <c r="C4" s="75">
        <f>'Management Team Cost'!$D$7</f>
        <v>936000</v>
      </c>
      <c r="D4" s="75">
        <f>'Management Team Cost'!$D$7</f>
        <v>936000</v>
      </c>
      <c r="E4" s="75">
        <f>'Management Team Cost'!$D$7</f>
        <v>936000</v>
      </c>
      <c r="F4" s="75">
        <f>'Management Team Cost'!$D$7</f>
        <v>936000</v>
      </c>
      <c r="G4" s="75">
        <f>'Management Team Cost'!$D$7</f>
        <v>936000</v>
      </c>
      <c r="H4" s="75">
        <f>'Management Team Cost'!$D$7</f>
        <v>936000</v>
      </c>
      <c r="I4" s="75">
        <f>'Management Team Cost'!$D$7</f>
        <v>936000</v>
      </c>
      <c r="J4" s="75">
        <f>'Management Team Cost'!$D$7</f>
        <v>936000</v>
      </c>
      <c r="K4" s="75">
        <f>'Management Team Cost'!$D$7</f>
        <v>936000</v>
      </c>
      <c r="L4" s="75">
        <f>'Management Team Cost'!$D$7</f>
        <v>936000</v>
      </c>
      <c r="M4" s="75">
        <f>'Management Team Cost'!$D$7</f>
        <v>936000</v>
      </c>
      <c r="N4" s="75">
        <f>'Management Team Cost'!$D$7</f>
        <v>936000</v>
      </c>
      <c r="O4" s="75">
        <f>'Management Team Cost'!$D$7</f>
        <v>936000</v>
      </c>
      <c r="P4" s="75">
        <f>'Management Team Cost'!$D$7</f>
        <v>936000</v>
      </c>
      <c r="Q4" s="75">
        <f>'Management Team Cost'!$D$7</f>
        <v>936000</v>
      </c>
      <c r="R4" s="75">
        <f>'Management Team Cost'!$D$7</f>
        <v>936000</v>
      </c>
      <c r="S4" s="75">
        <f>'Management Team Cost'!$D$7</f>
        <v>936000</v>
      </c>
      <c r="T4" s="75">
        <f>'Management Team Cost'!$D$7</f>
        <v>936000</v>
      </c>
      <c r="U4" s="75">
        <f>'Management Team Cost'!$D$7</f>
        <v>936000</v>
      </c>
      <c r="V4" s="75">
        <f>'Management Team Cost'!$D$7</f>
        <v>936000</v>
      </c>
      <c r="W4" s="75">
        <f>'Management Team Cost'!$D$7</f>
        <v>936000</v>
      </c>
      <c r="X4" s="75">
        <f>'Management Team Cost'!$D$7</f>
        <v>936000</v>
      </c>
      <c r="Y4" s="75">
        <f>'Management Team Cost'!$D$7</f>
        <v>936000</v>
      </c>
      <c r="Z4" s="75">
        <f>'Management Team Cost'!$D$7</f>
        <v>936000</v>
      </c>
      <c r="AA4" s="75">
        <f>'Management Team Cost'!$D$7</f>
        <v>936000</v>
      </c>
      <c r="AB4" s="75">
        <f>'Management Team Cost'!$D$7</f>
        <v>936000</v>
      </c>
      <c r="AC4" s="75">
        <f>'Management Team Cost'!$D$7</f>
        <v>936000</v>
      </c>
      <c r="AD4" s="75">
        <f>'Management Team Cost'!$D$7</f>
        <v>936000</v>
      </c>
      <c r="AE4" s="75">
        <f>'Management Team Cost'!$D$7</f>
        <v>936000</v>
      </c>
      <c r="AF4" s="75">
        <f>'Management Team Cost'!$D$7</f>
        <v>936000</v>
      </c>
      <c r="AG4" s="75">
        <f>'Management Team Cost'!$D$7</f>
        <v>936000</v>
      </c>
      <c r="AH4" s="75">
        <f>'Management Team Cost'!$D$7</f>
        <v>936000</v>
      </c>
      <c r="AI4" s="75">
        <f>'Management Team Cost'!$D$7</f>
        <v>936000</v>
      </c>
      <c r="AJ4" s="75">
        <f>'Management Team Cost'!$D$7</f>
        <v>936000</v>
      </c>
      <c r="AK4" s="75">
        <f>'Management Team Cost'!$D$7</f>
        <v>936000</v>
      </c>
      <c r="AL4" s="75">
        <f>'Management Team Cost'!$D$7</f>
        <v>936000</v>
      </c>
      <c r="AM4" s="75">
        <f>'Management Team Cost'!$D$7</f>
        <v>936000</v>
      </c>
      <c r="AN4" s="75">
        <f>'Management Team Cost'!$D$7</f>
        <v>936000</v>
      </c>
      <c r="AO4" s="75">
        <f>'Management Team Cost'!$D$7</f>
        <v>936000</v>
      </c>
      <c r="AP4" s="75">
        <f>'Management Team Cost'!$D$7</f>
        <v>936000</v>
      </c>
      <c r="AQ4" s="75">
        <f>'Management Team Cost'!$D$7</f>
        <v>936000</v>
      </c>
      <c r="AR4" s="75">
        <f>'Management Team Cost'!$D$7</f>
        <v>936000</v>
      </c>
      <c r="AS4" s="75">
        <f>'Management Team Cost'!$D$7</f>
        <v>936000</v>
      </c>
      <c r="AT4" s="75">
        <f>'Management Team Cost'!$D$7</f>
        <v>936000</v>
      </c>
      <c r="AU4" s="75">
        <f>'Management Team Cost'!$D$7</f>
        <v>936000</v>
      </c>
      <c r="AV4" s="75">
        <f>'Management Team Cost'!$D$7</f>
        <v>936000</v>
      </c>
      <c r="AW4" s="75">
        <f>'Management Team Cost'!$D$7</f>
        <v>936000</v>
      </c>
      <c r="AX4" s="75">
        <f>'Management Team Cost'!$D$7</f>
        <v>936000</v>
      </c>
      <c r="AY4" s="75">
        <f>'Management Team Cost'!$D$7</f>
        <v>936000</v>
      </c>
      <c r="AZ4" s="75">
        <f>'Management Team Cost'!$D$7</f>
        <v>936000</v>
      </c>
      <c r="BA4" s="75">
        <f>'Management Team Cost'!$D$7</f>
        <v>936000</v>
      </c>
      <c r="BB4" s="75">
        <f>'Management Team Cost'!$D$7</f>
        <v>936000</v>
      </c>
      <c r="BC4" s="75">
        <f>'Management Team Cost'!$D$7</f>
        <v>936000</v>
      </c>
      <c r="BD4" s="75">
        <f>'Management Team Cost'!$D$7</f>
        <v>936000</v>
      </c>
      <c r="BE4" s="75">
        <f>'Management Team Cost'!$D$7</f>
        <v>936000</v>
      </c>
      <c r="BF4" s="75">
        <f>'Management Team Cost'!$D$7</f>
        <v>936000</v>
      </c>
      <c r="BG4" s="75">
        <f>'Management Team Cost'!$D$7</f>
        <v>936000</v>
      </c>
      <c r="BH4" s="75">
        <f>'Management Team Cost'!$D$7</f>
        <v>936000</v>
      </c>
      <c r="BI4" s="75"/>
    </row>
    <row r="5" spans="1:61" s="74" customFormat="1" hidden="1" x14ac:dyDescent="0.2">
      <c r="A5" s="74" t="s">
        <v>4</v>
      </c>
      <c r="B5" s="121"/>
      <c r="C5" s="75">
        <f>'Management Team Cost'!$D$18</f>
        <v>97160</v>
      </c>
      <c r="D5" s="75">
        <f>'Management Team Cost'!$D$18</f>
        <v>97160</v>
      </c>
      <c r="E5" s="75">
        <f>'Management Team Cost'!$D$18</f>
        <v>97160</v>
      </c>
      <c r="F5" s="75">
        <f>'Management Team Cost'!$D$18</f>
        <v>97160</v>
      </c>
      <c r="G5" s="75">
        <f>'Management Team Cost'!$D$18</f>
        <v>97160</v>
      </c>
      <c r="H5" s="75">
        <f>'Management Team Cost'!$D$18</f>
        <v>97160</v>
      </c>
      <c r="I5" s="75">
        <f>'Management Team Cost'!$D$18</f>
        <v>97160</v>
      </c>
      <c r="J5" s="75">
        <f>'Management Team Cost'!$D$18</f>
        <v>97160</v>
      </c>
      <c r="K5" s="75">
        <f>'Management Team Cost'!$D$18</f>
        <v>97160</v>
      </c>
      <c r="L5" s="75">
        <f>'Management Team Cost'!$D$18</f>
        <v>97160</v>
      </c>
      <c r="M5" s="75">
        <f>'Management Team Cost'!$D$18</f>
        <v>97160</v>
      </c>
      <c r="N5" s="75">
        <f>'Management Team Cost'!$D$18</f>
        <v>97160</v>
      </c>
      <c r="O5" s="75">
        <f>'Management Team Cost'!$D$18</f>
        <v>97160</v>
      </c>
      <c r="P5" s="75">
        <f>'Management Team Cost'!$D$18</f>
        <v>97160</v>
      </c>
      <c r="Q5" s="75">
        <f>'Management Team Cost'!$D$18</f>
        <v>97160</v>
      </c>
      <c r="R5" s="75">
        <f>'Management Team Cost'!$D$18</f>
        <v>97160</v>
      </c>
      <c r="S5" s="75">
        <f>'Management Team Cost'!$D$18</f>
        <v>97160</v>
      </c>
      <c r="T5" s="75">
        <f>'Management Team Cost'!$D$18</f>
        <v>97160</v>
      </c>
      <c r="U5" s="75">
        <f>'Management Team Cost'!$D$18</f>
        <v>97160</v>
      </c>
      <c r="V5" s="75">
        <f>'Management Team Cost'!$D$18</f>
        <v>97160</v>
      </c>
      <c r="W5" s="75">
        <f>'Management Team Cost'!$D$18</f>
        <v>97160</v>
      </c>
      <c r="X5" s="75">
        <f>'Management Team Cost'!$D$18</f>
        <v>97160</v>
      </c>
      <c r="Y5" s="75">
        <f>'Management Team Cost'!$D$18</f>
        <v>97160</v>
      </c>
      <c r="Z5" s="75">
        <f>'Management Team Cost'!$D$18</f>
        <v>97160</v>
      </c>
      <c r="AA5" s="75">
        <f>'Management Team Cost'!$D$18</f>
        <v>97160</v>
      </c>
      <c r="AB5" s="75">
        <f>'Management Team Cost'!$D$18</f>
        <v>97160</v>
      </c>
      <c r="AC5" s="75">
        <f>'Management Team Cost'!$D$18</f>
        <v>97160</v>
      </c>
      <c r="AD5" s="75">
        <f>'Management Team Cost'!$D$18</f>
        <v>97160</v>
      </c>
      <c r="AE5" s="75">
        <f>'Management Team Cost'!$D$18</f>
        <v>97160</v>
      </c>
      <c r="AF5" s="75">
        <f>'Management Team Cost'!$D$18</f>
        <v>97160</v>
      </c>
      <c r="AG5" s="75">
        <f>'Management Team Cost'!$D$18</f>
        <v>97160</v>
      </c>
      <c r="AH5" s="75">
        <f>'Management Team Cost'!$D$18</f>
        <v>97160</v>
      </c>
      <c r="AI5" s="75">
        <f>'Management Team Cost'!$D$18</f>
        <v>97160</v>
      </c>
      <c r="AJ5" s="75">
        <f>'Management Team Cost'!$D$18</f>
        <v>97160</v>
      </c>
      <c r="AK5" s="75">
        <f>'Management Team Cost'!$D$18</f>
        <v>97160</v>
      </c>
      <c r="AL5" s="75">
        <f>'Management Team Cost'!$D$18</f>
        <v>97160</v>
      </c>
      <c r="AM5" s="75">
        <f>'Management Team Cost'!$D$18</f>
        <v>97160</v>
      </c>
      <c r="AN5" s="75">
        <f>'Management Team Cost'!$D$18</f>
        <v>97160</v>
      </c>
      <c r="AO5" s="75">
        <f>'Management Team Cost'!$D$18</f>
        <v>97160</v>
      </c>
      <c r="AP5" s="75">
        <f>'Management Team Cost'!$D$18</f>
        <v>97160</v>
      </c>
      <c r="AQ5" s="75">
        <f>'Management Team Cost'!$D$18</f>
        <v>97160</v>
      </c>
      <c r="AR5" s="75">
        <f>'Management Team Cost'!$D$18</f>
        <v>97160</v>
      </c>
      <c r="AS5" s="75">
        <f>'Management Team Cost'!$D$18</f>
        <v>97160</v>
      </c>
      <c r="AT5" s="75">
        <f>'Management Team Cost'!$D$18</f>
        <v>97160</v>
      </c>
      <c r="AU5" s="75">
        <f>'Management Team Cost'!$D$18</f>
        <v>97160</v>
      </c>
      <c r="AV5" s="75">
        <f>'Management Team Cost'!$D$18</f>
        <v>97160</v>
      </c>
      <c r="AW5" s="75">
        <f>'Management Team Cost'!$D$18</f>
        <v>97160</v>
      </c>
      <c r="AX5" s="75">
        <f>'Management Team Cost'!$D$18</f>
        <v>97160</v>
      </c>
      <c r="AY5" s="75">
        <f>'Management Team Cost'!$D$18</f>
        <v>97160</v>
      </c>
      <c r="AZ5" s="75">
        <f>'Management Team Cost'!$D$18</f>
        <v>97160</v>
      </c>
      <c r="BA5" s="75">
        <f>'Management Team Cost'!$D$18</f>
        <v>97160</v>
      </c>
      <c r="BB5" s="75">
        <f>'Management Team Cost'!$D$18</f>
        <v>97160</v>
      </c>
      <c r="BC5" s="75">
        <f>'Management Team Cost'!$D$18</f>
        <v>97160</v>
      </c>
      <c r="BD5" s="75">
        <f>'Management Team Cost'!$D$18</f>
        <v>97160</v>
      </c>
      <c r="BE5" s="75">
        <f>'Management Team Cost'!$D$18</f>
        <v>97160</v>
      </c>
      <c r="BF5" s="75">
        <f>'Management Team Cost'!$D$18</f>
        <v>97160</v>
      </c>
      <c r="BG5" s="75">
        <f>'Management Team Cost'!$D$18</f>
        <v>97160</v>
      </c>
      <c r="BH5" s="75">
        <f>'Management Team Cost'!$D$18</f>
        <v>97160</v>
      </c>
      <c r="BI5" s="75"/>
    </row>
    <row r="6" spans="1:61" s="74" customFormat="1" hidden="1" x14ac:dyDescent="0.2">
      <c r="A6" s="74" t="s">
        <v>5</v>
      </c>
      <c r="B6" s="121"/>
      <c r="C6" s="75">
        <f>'Engineering Team Cost'!$D$9</f>
        <v>1313000</v>
      </c>
      <c r="D6" s="75">
        <f>'Engineering Team Cost'!$D$9</f>
        <v>1313000</v>
      </c>
      <c r="E6" s="75">
        <f>'Engineering Team Cost'!$D$9</f>
        <v>1313000</v>
      </c>
      <c r="F6" s="75">
        <f>'Engineering Team Cost'!$D$9</f>
        <v>1313000</v>
      </c>
      <c r="G6" s="75">
        <f>'Engineering Team Cost'!$D$9</f>
        <v>1313000</v>
      </c>
      <c r="H6" s="75">
        <f>'Engineering Team Cost'!$D$9</f>
        <v>1313000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v>0</v>
      </c>
      <c r="X6" s="75">
        <v>0</v>
      </c>
      <c r="Y6" s="75">
        <v>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0</v>
      </c>
      <c r="AF6" s="75">
        <v>0</v>
      </c>
      <c r="AG6" s="75">
        <v>0</v>
      </c>
      <c r="AH6" s="75">
        <v>0</v>
      </c>
      <c r="AI6" s="75">
        <v>0</v>
      </c>
      <c r="AJ6" s="75">
        <v>0</v>
      </c>
      <c r="AK6" s="75">
        <v>0</v>
      </c>
      <c r="AL6" s="75">
        <v>0</v>
      </c>
      <c r="AM6" s="75">
        <v>0</v>
      </c>
      <c r="AN6" s="75">
        <v>0</v>
      </c>
      <c r="AO6" s="75">
        <v>0</v>
      </c>
      <c r="AP6" s="75">
        <v>0</v>
      </c>
      <c r="AQ6" s="75">
        <v>0</v>
      </c>
      <c r="AR6" s="75">
        <v>0</v>
      </c>
      <c r="AS6" s="75">
        <v>0</v>
      </c>
      <c r="AT6" s="75">
        <v>0</v>
      </c>
      <c r="AU6" s="75">
        <v>0</v>
      </c>
      <c r="AV6" s="75">
        <v>0</v>
      </c>
      <c r="AW6" s="75">
        <v>0</v>
      </c>
      <c r="AX6" s="75">
        <v>0</v>
      </c>
      <c r="AY6" s="75">
        <v>0</v>
      </c>
      <c r="AZ6" s="75">
        <v>0</v>
      </c>
      <c r="BA6" s="75">
        <v>0</v>
      </c>
      <c r="BB6" s="75">
        <v>0</v>
      </c>
      <c r="BC6" s="75">
        <v>0</v>
      </c>
      <c r="BD6" s="75">
        <v>0</v>
      </c>
      <c r="BE6" s="75">
        <v>0</v>
      </c>
      <c r="BF6" s="75">
        <v>0</v>
      </c>
      <c r="BG6" s="75">
        <v>0</v>
      </c>
      <c r="BH6" s="75">
        <v>0</v>
      </c>
      <c r="BI6" s="75"/>
    </row>
    <row r="7" spans="1:61" s="74" customFormat="1" hidden="1" x14ac:dyDescent="0.2">
      <c r="A7" s="74" t="s">
        <v>6</v>
      </c>
      <c r="B7" s="121"/>
      <c r="C7" s="75">
        <f>'Engineering Team Cost'!$D$15</f>
        <v>25000</v>
      </c>
      <c r="D7" s="75">
        <f>'Engineering Team Cost'!$D$15</f>
        <v>25000</v>
      </c>
      <c r="E7" s="75">
        <f>'Engineering Team Cost'!$D$15</f>
        <v>25000</v>
      </c>
      <c r="F7" s="75">
        <f>'Engineering Team Cost'!$D$15</f>
        <v>25000</v>
      </c>
      <c r="G7" s="75">
        <f>'Engineering Team Cost'!$D$15</f>
        <v>25000</v>
      </c>
      <c r="H7" s="75">
        <f>'Engineering Team Cost'!$D$15</f>
        <v>25000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0</v>
      </c>
      <c r="AG7" s="75">
        <v>0</v>
      </c>
      <c r="AH7" s="75">
        <v>0</v>
      </c>
      <c r="AI7" s="75">
        <v>0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0</v>
      </c>
      <c r="AP7" s="75">
        <v>0</v>
      </c>
      <c r="AQ7" s="75">
        <v>0</v>
      </c>
      <c r="AR7" s="75">
        <v>0</v>
      </c>
      <c r="AS7" s="75">
        <v>0</v>
      </c>
      <c r="AT7" s="75">
        <v>0</v>
      </c>
      <c r="AU7" s="75">
        <v>0</v>
      </c>
      <c r="AV7" s="75">
        <v>0</v>
      </c>
      <c r="AW7" s="75">
        <v>0</v>
      </c>
      <c r="AX7" s="75">
        <v>0</v>
      </c>
      <c r="AY7" s="75">
        <v>0</v>
      </c>
      <c r="AZ7" s="75">
        <v>0</v>
      </c>
      <c r="BA7" s="75">
        <v>0</v>
      </c>
      <c r="BB7" s="75">
        <v>0</v>
      </c>
      <c r="BC7" s="75">
        <v>0</v>
      </c>
      <c r="BD7" s="75">
        <v>0</v>
      </c>
      <c r="BE7" s="75">
        <v>0</v>
      </c>
      <c r="BF7" s="75">
        <v>0</v>
      </c>
      <c r="BG7" s="75">
        <v>0</v>
      </c>
      <c r="BH7" s="75">
        <v>0</v>
      </c>
      <c r="BI7" s="75"/>
    </row>
    <row r="8" spans="1:61" s="74" customFormat="1" hidden="1" x14ac:dyDescent="0.2">
      <c r="A8" s="74" t="s">
        <v>7</v>
      </c>
      <c r="B8" s="121"/>
      <c r="C8" s="75">
        <f t="shared" ref="C8:AM8" si="1">SUM(C4:C7)</f>
        <v>2371160</v>
      </c>
      <c r="D8" s="75">
        <f t="shared" si="1"/>
        <v>2371160</v>
      </c>
      <c r="E8" s="75">
        <f t="shared" si="1"/>
        <v>2371160</v>
      </c>
      <c r="F8" s="75">
        <f t="shared" si="1"/>
        <v>2371160</v>
      </c>
      <c r="G8" s="75">
        <f t="shared" si="1"/>
        <v>2371160</v>
      </c>
      <c r="H8" s="75">
        <f t="shared" si="1"/>
        <v>2371160</v>
      </c>
      <c r="I8" s="75">
        <f t="shared" si="1"/>
        <v>1033160</v>
      </c>
      <c r="J8" s="75">
        <f t="shared" si="1"/>
        <v>1033160</v>
      </c>
      <c r="K8" s="75">
        <f t="shared" si="1"/>
        <v>1033160</v>
      </c>
      <c r="L8" s="75">
        <f t="shared" si="1"/>
        <v>1033160</v>
      </c>
      <c r="M8" s="75">
        <f t="shared" si="1"/>
        <v>1033160</v>
      </c>
      <c r="N8" s="75">
        <f t="shared" si="1"/>
        <v>1033160</v>
      </c>
      <c r="O8" s="75">
        <f t="shared" si="1"/>
        <v>1033160</v>
      </c>
      <c r="P8" s="75">
        <f t="shared" si="1"/>
        <v>1033160</v>
      </c>
      <c r="Q8" s="75">
        <f t="shared" si="1"/>
        <v>1033160</v>
      </c>
      <c r="R8" s="75">
        <f t="shared" si="1"/>
        <v>1033160</v>
      </c>
      <c r="S8" s="75">
        <f t="shared" si="1"/>
        <v>1033160</v>
      </c>
      <c r="T8" s="75">
        <f t="shared" si="1"/>
        <v>1033160</v>
      </c>
      <c r="U8" s="75">
        <f t="shared" si="1"/>
        <v>1033160</v>
      </c>
      <c r="V8" s="75">
        <f t="shared" si="1"/>
        <v>1033160</v>
      </c>
      <c r="W8" s="75">
        <f t="shared" si="1"/>
        <v>1033160</v>
      </c>
      <c r="X8" s="75">
        <f t="shared" si="1"/>
        <v>1033160</v>
      </c>
      <c r="Y8" s="75">
        <f t="shared" si="1"/>
        <v>1033160</v>
      </c>
      <c r="Z8" s="75">
        <f t="shared" si="1"/>
        <v>1033160</v>
      </c>
      <c r="AA8" s="75">
        <f t="shared" si="1"/>
        <v>1033160</v>
      </c>
      <c r="AB8" s="75">
        <f t="shared" si="1"/>
        <v>1033160</v>
      </c>
      <c r="AC8" s="75">
        <f t="shared" si="1"/>
        <v>1033160</v>
      </c>
      <c r="AD8" s="75">
        <f t="shared" si="1"/>
        <v>1033160</v>
      </c>
      <c r="AE8" s="75">
        <f t="shared" si="1"/>
        <v>1033160</v>
      </c>
      <c r="AF8" s="75">
        <f t="shared" si="1"/>
        <v>1033160</v>
      </c>
      <c r="AG8" s="75">
        <f t="shared" si="1"/>
        <v>1033160</v>
      </c>
      <c r="AH8" s="75">
        <f t="shared" si="1"/>
        <v>1033160</v>
      </c>
      <c r="AI8" s="75">
        <f t="shared" si="1"/>
        <v>1033160</v>
      </c>
      <c r="AJ8" s="75">
        <f t="shared" si="1"/>
        <v>1033160</v>
      </c>
      <c r="AK8" s="75">
        <f t="shared" si="1"/>
        <v>1033160</v>
      </c>
      <c r="AL8" s="75">
        <f t="shared" si="1"/>
        <v>1033160</v>
      </c>
      <c r="AM8" s="75">
        <f t="shared" si="1"/>
        <v>1033160</v>
      </c>
      <c r="AN8" s="75">
        <f t="shared" ref="AN8:BH8" si="2">SUM(AN4:AN7)</f>
        <v>1033160</v>
      </c>
      <c r="AO8" s="75">
        <f t="shared" si="2"/>
        <v>1033160</v>
      </c>
      <c r="AP8" s="75">
        <f t="shared" si="2"/>
        <v>1033160</v>
      </c>
      <c r="AQ8" s="75">
        <f t="shared" si="2"/>
        <v>1033160</v>
      </c>
      <c r="AR8" s="75">
        <f t="shared" si="2"/>
        <v>1033160</v>
      </c>
      <c r="AS8" s="75">
        <f t="shared" si="2"/>
        <v>1033160</v>
      </c>
      <c r="AT8" s="75">
        <f t="shared" si="2"/>
        <v>1033160</v>
      </c>
      <c r="AU8" s="75">
        <f t="shared" si="2"/>
        <v>1033160</v>
      </c>
      <c r="AV8" s="75">
        <f t="shared" si="2"/>
        <v>1033160</v>
      </c>
      <c r="AW8" s="75">
        <f t="shared" si="2"/>
        <v>1033160</v>
      </c>
      <c r="AX8" s="75">
        <f t="shared" si="2"/>
        <v>1033160</v>
      </c>
      <c r="AY8" s="75">
        <f t="shared" si="2"/>
        <v>1033160</v>
      </c>
      <c r="AZ8" s="75">
        <f t="shared" si="2"/>
        <v>1033160</v>
      </c>
      <c r="BA8" s="75">
        <f t="shared" si="2"/>
        <v>1033160</v>
      </c>
      <c r="BB8" s="75">
        <f t="shared" si="2"/>
        <v>1033160</v>
      </c>
      <c r="BC8" s="75">
        <f t="shared" si="2"/>
        <v>1033160</v>
      </c>
      <c r="BD8" s="75">
        <f t="shared" si="2"/>
        <v>1033160</v>
      </c>
      <c r="BE8" s="75">
        <f t="shared" si="2"/>
        <v>1033160</v>
      </c>
      <c r="BF8" s="75">
        <f t="shared" si="2"/>
        <v>1033160</v>
      </c>
      <c r="BG8" s="75">
        <f t="shared" si="2"/>
        <v>1033160</v>
      </c>
      <c r="BH8" s="75">
        <f t="shared" si="2"/>
        <v>1033160</v>
      </c>
      <c r="BI8" s="75"/>
    </row>
    <row r="9" spans="1:61" s="79" customFormat="1" x14ac:dyDescent="0.2">
      <c r="B9" s="125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</row>
    <row r="10" spans="1:61" x14ac:dyDescent="0.2">
      <c r="A10" s="164" t="s">
        <v>598</v>
      </c>
      <c r="B10" s="31"/>
    </row>
    <row r="11" spans="1:61" x14ac:dyDescent="0.2">
      <c r="A11" s="103" t="s">
        <v>591</v>
      </c>
      <c r="B11" s="31"/>
      <c r="C11" s="176"/>
      <c r="D11" s="176"/>
      <c r="E11" s="176"/>
      <c r="F11" s="176"/>
      <c r="G11" s="176"/>
      <c r="H11" s="79"/>
      <c r="I11" s="79"/>
    </row>
    <row r="12" spans="1:61" x14ac:dyDescent="0.2">
      <c r="A12" s="103" t="s">
        <v>592</v>
      </c>
      <c r="B12" s="31"/>
      <c r="F12" s="173"/>
      <c r="G12" s="173"/>
      <c r="H12" s="173"/>
      <c r="I12" s="173"/>
      <c r="J12" s="173"/>
      <c r="K12" s="173"/>
      <c r="L12" s="79"/>
      <c r="M12" s="79"/>
    </row>
    <row r="13" spans="1:61" x14ac:dyDescent="0.2">
      <c r="A13" s="103" t="s">
        <v>593</v>
      </c>
      <c r="B13" s="31"/>
      <c r="J13" s="174"/>
      <c r="K13" s="174"/>
      <c r="L13" s="174"/>
      <c r="M13" s="163"/>
    </row>
    <row r="14" spans="1:61" x14ac:dyDescent="0.2">
      <c r="A14" s="103" t="s">
        <v>597</v>
      </c>
      <c r="B14" s="31"/>
      <c r="J14" s="79"/>
      <c r="K14" s="79"/>
      <c r="L14" s="79"/>
      <c r="M14" s="179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</row>
    <row r="15" spans="1:61" s="165" customFormat="1" x14ac:dyDescent="0.2">
      <c r="A15" s="165" t="s">
        <v>575</v>
      </c>
      <c r="B15" s="166"/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67">
        <v>900000</v>
      </c>
      <c r="N15" s="167">
        <v>900000</v>
      </c>
      <c r="O15" s="167">
        <v>900000</v>
      </c>
      <c r="P15" s="167">
        <v>900000</v>
      </c>
      <c r="Q15" s="167">
        <v>900000</v>
      </c>
      <c r="R15" s="167">
        <v>900000</v>
      </c>
      <c r="S15" s="167">
        <v>900000</v>
      </c>
      <c r="T15" s="167">
        <v>900000</v>
      </c>
      <c r="U15" s="167">
        <v>900000</v>
      </c>
      <c r="V15" s="167">
        <v>900000</v>
      </c>
      <c r="W15" s="167">
        <v>900000</v>
      </c>
      <c r="X15" s="167">
        <v>900000</v>
      </c>
      <c r="Y15" s="167">
        <v>900000</v>
      </c>
      <c r="Z15" s="167">
        <v>900000</v>
      </c>
      <c r="AA15" s="167">
        <v>900000</v>
      </c>
      <c r="AB15" s="167">
        <v>900000</v>
      </c>
      <c r="AC15" s="167">
        <v>900000</v>
      </c>
      <c r="AD15" s="167">
        <v>900000</v>
      </c>
      <c r="AE15" s="167">
        <v>900000</v>
      </c>
      <c r="AF15" s="167">
        <v>900000</v>
      </c>
      <c r="AG15" s="167">
        <v>900000</v>
      </c>
      <c r="AH15" s="167">
        <v>900000</v>
      </c>
      <c r="AI15" s="167">
        <v>900000</v>
      </c>
      <c r="AJ15" s="167">
        <v>900000</v>
      </c>
      <c r="AK15" s="167">
        <v>900000</v>
      </c>
      <c r="AL15" s="167">
        <v>900000</v>
      </c>
      <c r="AM15" s="167">
        <v>900000</v>
      </c>
      <c r="AN15" s="167">
        <v>900000</v>
      </c>
      <c r="AO15" s="167">
        <v>900000</v>
      </c>
      <c r="AP15" s="167">
        <v>900000</v>
      </c>
      <c r="AQ15" s="167">
        <v>900000</v>
      </c>
      <c r="AR15" s="167">
        <v>900000</v>
      </c>
      <c r="AS15" s="167">
        <v>900000</v>
      </c>
      <c r="AT15" s="167">
        <v>900000</v>
      </c>
      <c r="AU15" s="167">
        <v>900000</v>
      </c>
      <c r="AV15" s="167">
        <v>900000</v>
      </c>
      <c r="AW15" s="167">
        <v>900000</v>
      </c>
      <c r="AX15" s="167">
        <v>900000</v>
      </c>
      <c r="AY15" s="167">
        <v>900000</v>
      </c>
      <c r="AZ15" s="167">
        <v>900000</v>
      </c>
      <c r="BA15" s="167">
        <v>900000</v>
      </c>
      <c r="BB15" s="167">
        <v>900000</v>
      </c>
      <c r="BC15" s="167">
        <v>900000</v>
      </c>
      <c r="BD15" s="167">
        <v>900000</v>
      </c>
      <c r="BE15" s="167">
        <v>900000</v>
      </c>
      <c r="BF15" s="167">
        <v>900000</v>
      </c>
      <c r="BG15" s="167">
        <v>900000</v>
      </c>
      <c r="BH15" s="167">
        <v>900000</v>
      </c>
    </row>
    <row r="16" spans="1:61" hidden="1" x14ac:dyDescent="0.2">
      <c r="A16" s="74" t="s">
        <v>573</v>
      </c>
      <c r="B16" s="75">
        <v>60</v>
      </c>
      <c r="C16" s="75">
        <f t="shared" ref="C16:N17" si="3" xml:space="preserve"> $B16 * C$15</f>
        <v>0</v>
      </c>
      <c r="D16" s="75">
        <f t="shared" si="3"/>
        <v>0</v>
      </c>
      <c r="E16" s="75">
        <f t="shared" si="3"/>
        <v>0</v>
      </c>
      <c r="F16" s="75">
        <f t="shared" si="3"/>
        <v>0</v>
      </c>
      <c r="G16" s="75">
        <f t="shared" si="3"/>
        <v>0</v>
      </c>
      <c r="H16" s="75">
        <f t="shared" si="3"/>
        <v>0</v>
      </c>
      <c r="I16" s="75">
        <f t="shared" si="3"/>
        <v>0</v>
      </c>
      <c r="J16" s="75">
        <f t="shared" si="3"/>
        <v>0</v>
      </c>
      <c r="K16" s="75">
        <f t="shared" si="3"/>
        <v>0</v>
      </c>
      <c r="L16" s="75">
        <f t="shared" si="3"/>
        <v>0</v>
      </c>
      <c r="M16" s="75">
        <f t="shared" si="3"/>
        <v>54000000</v>
      </c>
      <c r="N16" s="75">
        <f t="shared" si="3"/>
        <v>54000000</v>
      </c>
      <c r="O16" s="75">
        <f xml:space="preserve"> $B16 * O$15</f>
        <v>54000000</v>
      </c>
      <c r="P16" s="75">
        <f t="shared" ref="P16:AP17" si="4" xml:space="preserve"> $B16 * P$15</f>
        <v>54000000</v>
      </c>
      <c r="Q16" s="75">
        <f t="shared" si="4"/>
        <v>54000000</v>
      </c>
      <c r="R16" s="75">
        <f t="shared" si="4"/>
        <v>54000000</v>
      </c>
      <c r="S16" s="75">
        <f t="shared" si="4"/>
        <v>54000000</v>
      </c>
      <c r="T16" s="75">
        <f t="shared" si="4"/>
        <v>54000000</v>
      </c>
      <c r="U16" s="75">
        <f t="shared" si="4"/>
        <v>54000000</v>
      </c>
      <c r="V16" s="75">
        <f t="shared" si="4"/>
        <v>54000000</v>
      </c>
      <c r="W16" s="75">
        <f t="shared" si="4"/>
        <v>54000000</v>
      </c>
      <c r="X16" s="75">
        <f t="shared" si="4"/>
        <v>54000000</v>
      </c>
      <c r="Y16" s="75">
        <f t="shared" si="4"/>
        <v>54000000</v>
      </c>
      <c r="Z16" s="75">
        <f t="shared" si="4"/>
        <v>54000000</v>
      </c>
      <c r="AA16" s="75">
        <f t="shared" si="4"/>
        <v>54000000</v>
      </c>
      <c r="AB16" s="75">
        <f t="shared" si="4"/>
        <v>54000000</v>
      </c>
      <c r="AC16" s="75">
        <f t="shared" si="4"/>
        <v>54000000</v>
      </c>
      <c r="AD16" s="75">
        <f t="shared" si="4"/>
        <v>54000000</v>
      </c>
      <c r="AE16" s="75">
        <f t="shared" si="4"/>
        <v>54000000</v>
      </c>
      <c r="AF16" s="75">
        <f t="shared" si="4"/>
        <v>54000000</v>
      </c>
      <c r="AG16" s="75">
        <f t="shared" si="4"/>
        <v>54000000</v>
      </c>
      <c r="AH16" s="75">
        <f t="shared" si="4"/>
        <v>54000000</v>
      </c>
      <c r="AI16" s="75">
        <f t="shared" si="4"/>
        <v>54000000</v>
      </c>
      <c r="AJ16" s="75">
        <f t="shared" si="4"/>
        <v>54000000</v>
      </c>
      <c r="AK16" s="75">
        <f t="shared" si="4"/>
        <v>54000000</v>
      </c>
      <c r="AL16" s="75">
        <f t="shared" si="4"/>
        <v>54000000</v>
      </c>
      <c r="AM16" s="75">
        <f t="shared" si="4"/>
        <v>54000000</v>
      </c>
      <c r="AN16" s="75">
        <f t="shared" si="4"/>
        <v>54000000</v>
      </c>
      <c r="AO16" s="75">
        <f t="shared" si="4"/>
        <v>54000000</v>
      </c>
      <c r="AP16" s="75">
        <f t="shared" si="4"/>
        <v>54000000</v>
      </c>
      <c r="AQ16" s="75">
        <f t="shared" ref="AQ16:BF17" si="5" xml:space="preserve"> $B16 * AQ$15</f>
        <v>54000000</v>
      </c>
      <c r="AR16" s="75">
        <f t="shared" si="5"/>
        <v>54000000</v>
      </c>
      <c r="AS16" s="75">
        <f t="shared" si="5"/>
        <v>54000000</v>
      </c>
      <c r="AT16" s="75">
        <f t="shared" si="5"/>
        <v>54000000</v>
      </c>
      <c r="AU16" s="75">
        <f t="shared" si="5"/>
        <v>54000000</v>
      </c>
      <c r="AV16" s="75">
        <f t="shared" si="5"/>
        <v>54000000</v>
      </c>
      <c r="AW16" s="75">
        <f t="shared" si="5"/>
        <v>54000000</v>
      </c>
      <c r="AX16" s="75">
        <f t="shared" si="5"/>
        <v>54000000</v>
      </c>
      <c r="AY16" s="75">
        <f t="shared" si="5"/>
        <v>54000000</v>
      </c>
      <c r="AZ16" s="75">
        <f t="shared" si="5"/>
        <v>54000000</v>
      </c>
      <c r="BA16" s="75">
        <f t="shared" si="5"/>
        <v>54000000</v>
      </c>
      <c r="BB16" s="75">
        <f t="shared" si="5"/>
        <v>54000000</v>
      </c>
      <c r="BC16" s="75">
        <f t="shared" si="5"/>
        <v>54000000</v>
      </c>
      <c r="BD16" s="75">
        <f t="shared" si="5"/>
        <v>54000000</v>
      </c>
      <c r="BE16" s="75">
        <f t="shared" si="5"/>
        <v>54000000</v>
      </c>
      <c r="BF16" s="75">
        <f t="shared" si="5"/>
        <v>54000000</v>
      </c>
      <c r="BG16" s="75">
        <f t="shared" ref="BB16:BH17" si="6" xml:space="preserve"> $B16 * BG$15</f>
        <v>54000000</v>
      </c>
      <c r="BH16" s="75">
        <f t="shared" si="6"/>
        <v>54000000</v>
      </c>
    </row>
    <row r="17" spans="1:61" hidden="1" x14ac:dyDescent="0.2">
      <c r="A17" s="74" t="s">
        <v>574</v>
      </c>
      <c r="B17" s="75">
        <v>45</v>
      </c>
      <c r="C17" s="75">
        <f t="shared" si="3"/>
        <v>0</v>
      </c>
      <c r="D17" s="75">
        <f t="shared" si="3"/>
        <v>0</v>
      </c>
      <c r="E17" s="75">
        <f t="shared" si="3"/>
        <v>0</v>
      </c>
      <c r="F17" s="75">
        <f t="shared" si="3"/>
        <v>0</v>
      </c>
      <c r="G17" s="75">
        <f t="shared" si="3"/>
        <v>0</v>
      </c>
      <c r="H17" s="75">
        <f t="shared" si="3"/>
        <v>0</v>
      </c>
      <c r="I17" s="75">
        <f t="shared" si="3"/>
        <v>0</v>
      </c>
      <c r="J17" s="75">
        <f t="shared" si="3"/>
        <v>0</v>
      </c>
      <c r="K17" s="75">
        <f t="shared" si="3"/>
        <v>0</v>
      </c>
      <c r="L17" s="75">
        <f t="shared" si="3"/>
        <v>0</v>
      </c>
      <c r="M17" s="75">
        <f t="shared" si="3"/>
        <v>40500000</v>
      </c>
      <c r="N17" s="75">
        <f t="shared" si="3"/>
        <v>40500000</v>
      </c>
      <c r="O17" s="75">
        <f xml:space="preserve"> $B17 * O$15</f>
        <v>40500000</v>
      </c>
      <c r="P17" s="75">
        <f t="shared" si="4"/>
        <v>40500000</v>
      </c>
      <c r="Q17" s="75">
        <f t="shared" si="4"/>
        <v>40500000</v>
      </c>
      <c r="R17" s="75">
        <f t="shared" si="4"/>
        <v>40500000</v>
      </c>
      <c r="S17" s="75">
        <f t="shared" si="4"/>
        <v>40500000</v>
      </c>
      <c r="T17" s="75">
        <f t="shared" si="4"/>
        <v>40500000</v>
      </c>
      <c r="U17" s="75">
        <f t="shared" si="4"/>
        <v>40500000</v>
      </c>
      <c r="V17" s="75">
        <f t="shared" si="4"/>
        <v>40500000</v>
      </c>
      <c r="W17" s="75">
        <f t="shared" si="4"/>
        <v>40500000</v>
      </c>
      <c r="X17" s="75">
        <f t="shared" si="4"/>
        <v>40500000</v>
      </c>
      <c r="Y17" s="75">
        <f t="shared" si="4"/>
        <v>40500000</v>
      </c>
      <c r="Z17" s="75">
        <f t="shared" si="4"/>
        <v>40500000</v>
      </c>
      <c r="AA17" s="75">
        <f t="shared" si="4"/>
        <v>40500000</v>
      </c>
      <c r="AB17" s="75">
        <f t="shared" si="4"/>
        <v>40500000</v>
      </c>
      <c r="AC17" s="75">
        <f t="shared" si="4"/>
        <v>40500000</v>
      </c>
      <c r="AD17" s="75">
        <f t="shared" si="4"/>
        <v>40500000</v>
      </c>
      <c r="AE17" s="75">
        <f t="shared" si="4"/>
        <v>40500000</v>
      </c>
      <c r="AF17" s="75">
        <f t="shared" si="4"/>
        <v>40500000</v>
      </c>
      <c r="AG17" s="75">
        <f t="shared" si="4"/>
        <v>40500000</v>
      </c>
      <c r="AH17" s="75">
        <f t="shared" si="4"/>
        <v>40500000</v>
      </c>
      <c r="AI17" s="75">
        <f t="shared" si="4"/>
        <v>40500000</v>
      </c>
      <c r="AJ17" s="75">
        <f t="shared" si="4"/>
        <v>40500000</v>
      </c>
      <c r="AK17" s="75">
        <f t="shared" si="4"/>
        <v>40500000</v>
      </c>
      <c r="AL17" s="75">
        <f t="shared" si="4"/>
        <v>40500000</v>
      </c>
      <c r="AM17" s="75">
        <f t="shared" si="4"/>
        <v>40500000</v>
      </c>
      <c r="AN17" s="75">
        <f t="shared" si="4"/>
        <v>40500000</v>
      </c>
      <c r="AO17" s="75">
        <f t="shared" si="4"/>
        <v>40500000</v>
      </c>
      <c r="AP17" s="75">
        <f t="shared" si="4"/>
        <v>40500000</v>
      </c>
      <c r="AQ17" s="75">
        <f t="shared" si="5"/>
        <v>40500000</v>
      </c>
      <c r="AR17" s="75">
        <f t="shared" si="5"/>
        <v>40500000</v>
      </c>
      <c r="AS17" s="75">
        <f t="shared" si="5"/>
        <v>40500000</v>
      </c>
      <c r="AT17" s="75">
        <f t="shared" si="5"/>
        <v>40500000</v>
      </c>
      <c r="AU17" s="75">
        <f t="shared" si="5"/>
        <v>40500000</v>
      </c>
      <c r="AV17" s="75">
        <f t="shared" si="5"/>
        <v>40500000</v>
      </c>
      <c r="AW17" s="75">
        <f t="shared" si="5"/>
        <v>40500000</v>
      </c>
      <c r="AX17" s="75">
        <f t="shared" si="5"/>
        <v>40500000</v>
      </c>
      <c r="AY17" s="75">
        <f t="shared" si="5"/>
        <v>40500000</v>
      </c>
      <c r="AZ17" s="75">
        <f t="shared" si="5"/>
        <v>40500000</v>
      </c>
      <c r="BA17" s="75">
        <f t="shared" si="5"/>
        <v>40500000</v>
      </c>
      <c r="BB17" s="75">
        <f t="shared" si="6"/>
        <v>40500000</v>
      </c>
      <c r="BC17" s="75">
        <f t="shared" si="6"/>
        <v>40500000</v>
      </c>
      <c r="BD17" s="75">
        <f t="shared" si="6"/>
        <v>40500000</v>
      </c>
      <c r="BE17" s="75">
        <f t="shared" si="6"/>
        <v>40500000</v>
      </c>
      <c r="BF17" s="75">
        <f t="shared" si="6"/>
        <v>40500000</v>
      </c>
      <c r="BG17" s="75">
        <f t="shared" si="6"/>
        <v>40500000</v>
      </c>
      <c r="BH17" s="75">
        <f t="shared" si="6"/>
        <v>40500000</v>
      </c>
    </row>
    <row r="18" spans="1:61" s="79" customFormat="1" x14ac:dyDescent="0.2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</row>
    <row r="19" spans="1:61" x14ac:dyDescent="0.2">
      <c r="A19" s="1" t="s">
        <v>577</v>
      </c>
      <c r="B19" s="31"/>
    </row>
    <row r="20" spans="1:61" x14ac:dyDescent="0.2">
      <c r="A20" t="s">
        <v>445</v>
      </c>
      <c r="B20" s="31"/>
      <c r="C20" s="94">
        <f t="shared" ref="C20:AL20" si="7" xml:space="preserve"> D21</f>
        <v>0</v>
      </c>
      <c r="D20" s="94">
        <f t="shared" si="7"/>
        <v>1</v>
      </c>
      <c r="E20" s="94">
        <f t="shared" si="7"/>
        <v>1</v>
      </c>
      <c r="F20" s="94">
        <f t="shared" si="7"/>
        <v>1</v>
      </c>
      <c r="G20" s="94">
        <f t="shared" si="7"/>
        <v>1</v>
      </c>
      <c r="H20" s="94">
        <f t="shared" si="7"/>
        <v>1</v>
      </c>
      <c r="I20" s="94">
        <f t="shared" si="7"/>
        <v>1</v>
      </c>
      <c r="J20" s="94">
        <f t="shared" si="7"/>
        <v>1</v>
      </c>
      <c r="K20" s="94">
        <f t="shared" si="7"/>
        <v>1</v>
      </c>
      <c r="L20" s="94">
        <f t="shared" si="7"/>
        <v>0</v>
      </c>
      <c r="M20" s="94">
        <f t="shared" si="7"/>
        <v>0</v>
      </c>
      <c r="N20" s="94">
        <f t="shared" si="7"/>
        <v>0</v>
      </c>
      <c r="O20" s="94">
        <f t="shared" si="7"/>
        <v>0</v>
      </c>
      <c r="P20" s="94">
        <f t="shared" si="7"/>
        <v>0</v>
      </c>
      <c r="Q20" s="94">
        <f t="shared" si="7"/>
        <v>0</v>
      </c>
      <c r="R20" s="94">
        <f t="shared" si="7"/>
        <v>0</v>
      </c>
      <c r="S20" s="94">
        <f t="shared" si="7"/>
        <v>0</v>
      </c>
      <c r="T20" s="94">
        <f t="shared" si="7"/>
        <v>0</v>
      </c>
      <c r="U20" s="94">
        <f t="shared" si="7"/>
        <v>0</v>
      </c>
      <c r="V20" s="94">
        <f t="shared" si="7"/>
        <v>0</v>
      </c>
      <c r="W20" s="94">
        <f t="shared" si="7"/>
        <v>0</v>
      </c>
      <c r="X20" s="94">
        <f t="shared" si="7"/>
        <v>0</v>
      </c>
      <c r="Y20" s="94">
        <f t="shared" si="7"/>
        <v>0</v>
      </c>
      <c r="Z20" s="94">
        <f t="shared" si="7"/>
        <v>0</v>
      </c>
      <c r="AA20" s="94">
        <f t="shared" si="7"/>
        <v>0</v>
      </c>
      <c r="AB20" s="94">
        <f t="shared" si="7"/>
        <v>0</v>
      </c>
      <c r="AC20" s="94">
        <f t="shared" si="7"/>
        <v>0</v>
      </c>
      <c r="AD20" s="94">
        <f t="shared" si="7"/>
        <v>0</v>
      </c>
      <c r="AE20" s="94">
        <f t="shared" si="7"/>
        <v>0</v>
      </c>
      <c r="AF20" s="94">
        <f t="shared" si="7"/>
        <v>0</v>
      </c>
      <c r="AG20" s="94">
        <f t="shared" si="7"/>
        <v>0</v>
      </c>
      <c r="AH20" s="94">
        <f t="shared" si="7"/>
        <v>0</v>
      </c>
      <c r="AI20" s="94">
        <f t="shared" si="7"/>
        <v>0</v>
      </c>
      <c r="AJ20" s="94">
        <f t="shared" si="7"/>
        <v>0</v>
      </c>
      <c r="AK20" s="94">
        <f t="shared" si="7"/>
        <v>0</v>
      </c>
      <c r="AL20" s="94">
        <f t="shared" si="7"/>
        <v>0</v>
      </c>
      <c r="AM20" s="94">
        <f t="shared" ref="AM20:BH20" si="8" xml:space="preserve"> BI21</f>
        <v>0</v>
      </c>
      <c r="AN20" s="94">
        <f t="shared" si="8"/>
        <v>0</v>
      </c>
      <c r="AO20" s="94">
        <f t="shared" si="8"/>
        <v>0</v>
      </c>
      <c r="AP20" s="94">
        <f t="shared" si="8"/>
        <v>0</v>
      </c>
      <c r="AQ20" s="94">
        <f t="shared" si="8"/>
        <v>0</v>
      </c>
      <c r="AR20" s="94">
        <f t="shared" si="8"/>
        <v>0</v>
      </c>
      <c r="AS20" s="94">
        <f t="shared" si="8"/>
        <v>0</v>
      </c>
      <c r="AT20" s="94">
        <f t="shared" si="8"/>
        <v>0</v>
      </c>
      <c r="AU20" s="94">
        <f t="shared" si="8"/>
        <v>0</v>
      </c>
      <c r="AV20" s="94">
        <f t="shared" si="8"/>
        <v>0</v>
      </c>
      <c r="AW20" s="94">
        <f t="shared" si="8"/>
        <v>0</v>
      </c>
      <c r="AX20" s="94">
        <f t="shared" si="8"/>
        <v>0</v>
      </c>
      <c r="AY20" s="94">
        <f t="shared" si="8"/>
        <v>0</v>
      </c>
      <c r="AZ20" s="94">
        <f t="shared" si="8"/>
        <v>0</v>
      </c>
      <c r="BA20" s="94">
        <f t="shared" si="8"/>
        <v>0</v>
      </c>
      <c r="BB20" s="94">
        <f t="shared" si="8"/>
        <v>0</v>
      </c>
      <c r="BC20" s="94">
        <f t="shared" si="8"/>
        <v>0</v>
      </c>
      <c r="BD20" s="94">
        <f t="shared" si="8"/>
        <v>0</v>
      </c>
      <c r="BE20" s="94">
        <f t="shared" si="8"/>
        <v>0</v>
      </c>
      <c r="BF20" s="94">
        <f t="shared" si="8"/>
        <v>0</v>
      </c>
      <c r="BG20" s="94">
        <f t="shared" si="8"/>
        <v>0</v>
      </c>
      <c r="BH20" s="94">
        <f t="shared" si="8"/>
        <v>0</v>
      </c>
    </row>
    <row r="21" spans="1:61" x14ac:dyDescent="0.2">
      <c r="A21" t="s">
        <v>446</v>
      </c>
      <c r="B21" s="31"/>
      <c r="C21" s="94">
        <f t="shared" ref="C21:AL21" si="9" xml:space="preserve"> D22-C22</f>
        <v>0</v>
      </c>
      <c r="D21" s="94">
        <f t="shared" si="9"/>
        <v>0</v>
      </c>
      <c r="E21" s="94">
        <f t="shared" si="9"/>
        <v>1</v>
      </c>
      <c r="F21" s="94">
        <f t="shared" si="9"/>
        <v>1</v>
      </c>
      <c r="G21" s="94">
        <f t="shared" si="9"/>
        <v>1</v>
      </c>
      <c r="H21" s="94">
        <f t="shared" si="9"/>
        <v>1</v>
      </c>
      <c r="I21" s="94">
        <f t="shared" si="9"/>
        <v>1</v>
      </c>
      <c r="J21" s="94">
        <f xml:space="preserve"> K22-J22</f>
        <v>1</v>
      </c>
      <c r="K21" s="94">
        <f t="shared" si="9"/>
        <v>1</v>
      </c>
      <c r="L21" s="94">
        <f t="shared" si="9"/>
        <v>1</v>
      </c>
      <c r="M21" s="94">
        <f t="shared" si="9"/>
        <v>0</v>
      </c>
      <c r="N21" s="94">
        <f t="shared" si="9"/>
        <v>0</v>
      </c>
      <c r="O21" s="94">
        <f t="shared" si="9"/>
        <v>0</v>
      </c>
      <c r="P21" s="94">
        <f t="shared" si="9"/>
        <v>0</v>
      </c>
      <c r="Q21" s="94">
        <f t="shared" si="9"/>
        <v>0</v>
      </c>
      <c r="R21" s="94">
        <f t="shared" si="9"/>
        <v>0</v>
      </c>
      <c r="S21" s="94">
        <f t="shared" si="9"/>
        <v>0</v>
      </c>
      <c r="T21" s="94">
        <f t="shared" si="9"/>
        <v>0</v>
      </c>
      <c r="U21" s="94">
        <f t="shared" si="9"/>
        <v>0</v>
      </c>
      <c r="V21" s="94">
        <f t="shared" si="9"/>
        <v>0</v>
      </c>
      <c r="W21" s="94">
        <f t="shared" si="9"/>
        <v>0</v>
      </c>
      <c r="X21" s="94">
        <f t="shared" si="9"/>
        <v>0</v>
      </c>
      <c r="Y21" s="94">
        <f t="shared" si="9"/>
        <v>0</v>
      </c>
      <c r="Z21" s="94">
        <f t="shared" si="9"/>
        <v>0</v>
      </c>
      <c r="AA21" s="94">
        <f t="shared" si="9"/>
        <v>0</v>
      </c>
      <c r="AB21" s="94">
        <f t="shared" si="9"/>
        <v>0</v>
      </c>
      <c r="AC21" s="94">
        <f t="shared" si="9"/>
        <v>0</v>
      </c>
      <c r="AD21" s="94">
        <f t="shared" si="9"/>
        <v>0</v>
      </c>
      <c r="AE21" s="94">
        <f t="shared" si="9"/>
        <v>0</v>
      </c>
      <c r="AF21" s="94">
        <f t="shared" si="9"/>
        <v>0</v>
      </c>
      <c r="AG21" s="94">
        <f t="shared" si="9"/>
        <v>0</v>
      </c>
      <c r="AH21" s="94">
        <f t="shared" si="9"/>
        <v>0</v>
      </c>
      <c r="AI21" s="94">
        <f t="shared" si="9"/>
        <v>0</v>
      </c>
      <c r="AJ21" s="94">
        <f t="shared" si="9"/>
        <v>0</v>
      </c>
      <c r="AK21" s="94">
        <f t="shared" si="9"/>
        <v>0</v>
      </c>
      <c r="AL21" s="94">
        <f t="shared" si="9"/>
        <v>0</v>
      </c>
      <c r="AM21" s="94">
        <v>0</v>
      </c>
      <c r="AN21" s="94">
        <v>0</v>
      </c>
      <c r="AO21" s="94">
        <v>0</v>
      </c>
      <c r="AP21" s="94">
        <v>0</v>
      </c>
      <c r="AQ21" s="94">
        <v>0</v>
      </c>
      <c r="AR21" s="94">
        <v>0</v>
      </c>
      <c r="AS21" s="94">
        <v>0</v>
      </c>
      <c r="AT21" s="94">
        <v>0</v>
      </c>
      <c r="AU21" s="94">
        <v>0</v>
      </c>
      <c r="AV21" s="94">
        <v>0</v>
      </c>
      <c r="AW21" s="94">
        <v>0</v>
      </c>
      <c r="AX21" s="94">
        <v>0</v>
      </c>
      <c r="AY21" s="94">
        <v>0</v>
      </c>
      <c r="AZ21" s="94">
        <v>0</v>
      </c>
      <c r="BA21" s="94">
        <v>0</v>
      </c>
      <c r="BB21" s="94">
        <v>0</v>
      </c>
      <c r="BC21" s="94">
        <v>0</v>
      </c>
      <c r="BD21" s="94">
        <v>0</v>
      </c>
      <c r="BE21" s="94">
        <v>0</v>
      </c>
      <c r="BF21" s="94">
        <v>0</v>
      </c>
      <c r="BG21" s="94">
        <v>0</v>
      </c>
      <c r="BH21" s="94">
        <v>0</v>
      </c>
    </row>
    <row r="22" spans="1:61" x14ac:dyDescent="0.2">
      <c r="A22" t="s">
        <v>447</v>
      </c>
      <c r="B22" s="31"/>
      <c r="C22">
        <v>0</v>
      </c>
      <c r="D22">
        <v>0</v>
      </c>
      <c r="E22">
        <v>0</v>
      </c>
      <c r="F22">
        <v>1</v>
      </c>
      <c r="G22">
        <v>2</v>
      </c>
      <c r="H22">
        <v>3</v>
      </c>
      <c r="I22">
        <v>4</v>
      </c>
      <c r="J22">
        <v>5</v>
      </c>
      <c r="K22">
        <v>6</v>
      </c>
      <c r="L22">
        <v>7</v>
      </c>
      <c r="M22">
        <v>8</v>
      </c>
      <c r="N22">
        <v>8</v>
      </c>
      <c r="O22">
        <v>8</v>
      </c>
      <c r="P22">
        <v>8</v>
      </c>
      <c r="Q22">
        <v>8</v>
      </c>
      <c r="R22">
        <v>8</v>
      </c>
      <c r="S22">
        <v>8</v>
      </c>
      <c r="T22">
        <v>8</v>
      </c>
      <c r="U22">
        <v>8</v>
      </c>
      <c r="V22">
        <v>8</v>
      </c>
      <c r="W22">
        <v>8</v>
      </c>
      <c r="X22">
        <v>8</v>
      </c>
      <c r="Y22">
        <v>8</v>
      </c>
      <c r="Z22">
        <v>8</v>
      </c>
      <c r="AA22">
        <v>8</v>
      </c>
      <c r="AB22">
        <v>8</v>
      </c>
      <c r="AC22">
        <v>8</v>
      </c>
      <c r="AD22">
        <v>8</v>
      </c>
      <c r="AE22">
        <v>8</v>
      </c>
      <c r="AF22">
        <v>8</v>
      </c>
      <c r="AG22">
        <v>8</v>
      </c>
      <c r="AH22">
        <v>8</v>
      </c>
      <c r="AI22">
        <v>8</v>
      </c>
      <c r="AJ22">
        <v>8</v>
      </c>
      <c r="AK22">
        <v>8</v>
      </c>
      <c r="AL22">
        <v>8</v>
      </c>
      <c r="AM22">
        <v>8</v>
      </c>
      <c r="AN22">
        <v>8</v>
      </c>
      <c r="AO22">
        <v>8</v>
      </c>
      <c r="AP22">
        <v>8</v>
      </c>
      <c r="AQ22">
        <v>8</v>
      </c>
      <c r="AR22">
        <v>8</v>
      </c>
      <c r="AS22">
        <v>8</v>
      </c>
      <c r="AT22">
        <v>8</v>
      </c>
      <c r="AU22">
        <v>8</v>
      </c>
      <c r="AV22">
        <v>8</v>
      </c>
      <c r="AW22">
        <v>8</v>
      </c>
      <c r="AX22">
        <v>8</v>
      </c>
      <c r="AY22">
        <v>8</v>
      </c>
      <c r="AZ22">
        <v>8</v>
      </c>
      <c r="BA22">
        <v>8</v>
      </c>
      <c r="BB22">
        <v>8</v>
      </c>
      <c r="BC22">
        <v>8</v>
      </c>
      <c r="BD22">
        <v>8</v>
      </c>
      <c r="BE22">
        <v>8</v>
      </c>
      <c r="BF22">
        <v>8</v>
      </c>
      <c r="BG22">
        <v>8</v>
      </c>
      <c r="BH22">
        <v>8</v>
      </c>
    </row>
    <row r="23" spans="1:61" s="74" customFormat="1" hidden="1" x14ac:dyDescent="0.2">
      <c r="A23" s="74" t="s">
        <v>448</v>
      </c>
      <c r="B23" s="121"/>
      <c r="C23" s="75">
        <f>C21*'Levellized Salt Sep Plant'!$C$4</f>
        <v>0</v>
      </c>
      <c r="D23" s="75">
        <f>D21*'Levellized Salt Sep Plant'!$C$4</f>
        <v>0</v>
      </c>
      <c r="E23" s="75">
        <f>E21*'Levellized Salt Sep Plant'!$C$4</f>
        <v>16500000</v>
      </c>
      <c r="F23" s="75">
        <f>F21*'Levellized Salt Sep Plant'!$C$4</f>
        <v>16500000</v>
      </c>
      <c r="G23" s="75">
        <f>G21*'Levellized Salt Sep Plant'!$C$4</f>
        <v>16500000</v>
      </c>
      <c r="H23" s="75">
        <f>H21*'Levellized Salt Sep Plant'!$C$4</f>
        <v>16500000</v>
      </c>
      <c r="I23" s="75">
        <f>I21*'Levellized Salt Sep Plant'!$C$4</f>
        <v>16500000</v>
      </c>
      <c r="J23" s="75">
        <f>J21*'Levellized Salt Sep Plant'!$C$4</f>
        <v>16500000</v>
      </c>
      <c r="K23" s="75">
        <f>K21*'Levellized Salt Sep Plant'!$C$4</f>
        <v>16500000</v>
      </c>
      <c r="L23" s="75">
        <f>L21*'Levellized Salt Sep Plant'!$C$4</f>
        <v>16500000</v>
      </c>
      <c r="M23" s="75">
        <f>M21*'Levellized Salt Sep Plant'!$C$4</f>
        <v>0</v>
      </c>
      <c r="N23" s="75">
        <f>N21*'Levellized Salt Sep Plant'!$C$4</f>
        <v>0</v>
      </c>
      <c r="O23" s="75">
        <f>O21*'Levellized Salt Sep Plant'!$C$4</f>
        <v>0</v>
      </c>
      <c r="P23" s="75">
        <f>P21*'Levellized Salt Sep Plant'!$C$4</f>
        <v>0</v>
      </c>
      <c r="Q23" s="75">
        <f>Q21*'Levellized Salt Sep Plant'!$C$4</f>
        <v>0</v>
      </c>
      <c r="R23" s="75">
        <f>R21*'Levellized Salt Sep Plant'!$C$4</f>
        <v>0</v>
      </c>
      <c r="S23" s="75">
        <f>S21*'Levellized Salt Sep Plant'!$C$4</f>
        <v>0</v>
      </c>
      <c r="T23" s="75">
        <f>T21*'Levellized Salt Sep Plant'!$C$4</f>
        <v>0</v>
      </c>
      <c r="U23" s="75">
        <f>U21*'Levellized Salt Sep Plant'!$C$4</f>
        <v>0</v>
      </c>
      <c r="V23" s="75">
        <f>V21*'Levellized Salt Sep Plant'!$C$4</f>
        <v>0</v>
      </c>
      <c r="W23" s="75">
        <f>W21*'Levellized Salt Sep Plant'!$C$4</f>
        <v>0</v>
      </c>
      <c r="X23" s="75">
        <f>X21*'Levellized Salt Sep Plant'!$C$4</f>
        <v>0</v>
      </c>
      <c r="Y23" s="75">
        <f>Y21*'Levellized Salt Sep Plant'!$C$4</f>
        <v>0</v>
      </c>
      <c r="Z23" s="75">
        <f>Z21*'Levellized Salt Sep Plant'!$C$4</f>
        <v>0</v>
      </c>
      <c r="AA23" s="75">
        <f>AA21*'Levellized Salt Sep Plant'!$C$4</f>
        <v>0</v>
      </c>
      <c r="AB23" s="75">
        <f>AB21*'Levellized Salt Sep Plant'!$C$4</f>
        <v>0</v>
      </c>
      <c r="AC23" s="75">
        <f>AC21*'Levellized Salt Sep Plant'!$C$4</f>
        <v>0</v>
      </c>
      <c r="AD23" s="75">
        <f>AD21*'Levellized Salt Sep Plant'!$C$4</f>
        <v>0</v>
      </c>
      <c r="AE23" s="75">
        <f>AE21*'Levellized Salt Sep Plant'!$C$4</f>
        <v>0</v>
      </c>
      <c r="AF23" s="75">
        <f>AF21*'Levellized Salt Sep Plant'!$C$4</f>
        <v>0</v>
      </c>
      <c r="AG23" s="75">
        <f>AG21*'Levellized Salt Sep Plant'!$C$4</f>
        <v>0</v>
      </c>
      <c r="AH23" s="75">
        <f>AH21*'Levellized Salt Sep Plant'!$C$4</f>
        <v>0</v>
      </c>
      <c r="AI23" s="75">
        <f>AI21*'Levellized Salt Sep Plant'!$C$4</f>
        <v>0</v>
      </c>
      <c r="AJ23" s="75">
        <f>AJ21*'Levellized Salt Sep Plant'!$C$4</f>
        <v>0</v>
      </c>
      <c r="AK23" s="75">
        <f>AK21*'Levellized Salt Sep Plant'!$C$4</f>
        <v>0</v>
      </c>
      <c r="AL23" s="75">
        <f>AL21*'Levellized Salt Sep Plant'!$C$4</f>
        <v>0</v>
      </c>
      <c r="AM23" s="75">
        <f>AM21*'Levellized Salt Sep Plant'!$C$4</f>
        <v>0</v>
      </c>
      <c r="AN23" s="75">
        <f>AN21*'Levellized Salt Sep Plant'!$C$4</f>
        <v>0</v>
      </c>
      <c r="AO23" s="75">
        <f>AO21*'Levellized Salt Sep Plant'!$C$4</f>
        <v>0</v>
      </c>
      <c r="AP23" s="75">
        <f>AP21*'Levellized Salt Sep Plant'!$C$4</f>
        <v>0</v>
      </c>
      <c r="AQ23" s="75">
        <f>AQ21*'Levellized Salt Sep Plant'!$C$4</f>
        <v>0</v>
      </c>
      <c r="AR23" s="75">
        <f>AR21*'Levellized Salt Sep Plant'!$C$4</f>
        <v>0</v>
      </c>
      <c r="AS23" s="75">
        <f>AS21*'Levellized Salt Sep Plant'!$C$4</f>
        <v>0</v>
      </c>
      <c r="AT23" s="75">
        <f>AT21*'Levellized Salt Sep Plant'!$C$4</f>
        <v>0</v>
      </c>
      <c r="AU23" s="75">
        <f>AU21*'Levellized Salt Sep Plant'!$C$4</f>
        <v>0</v>
      </c>
      <c r="AV23" s="75">
        <f>AV21*'Levellized Salt Sep Plant'!$C$4</f>
        <v>0</v>
      </c>
      <c r="AW23" s="75">
        <f>AW21*'Levellized Salt Sep Plant'!$C$4</f>
        <v>0</v>
      </c>
      <c r="AX23" s="75">
        <f>AX21*'Levellized Salt Sep Plant'!$C$4</f>
        <v>0</v>
      </c>
      <c r="AY23" s="75">
        <f>AY21*'Levellized Salt Sep Plant'!$C$4</f>
        <v>0</v>
      </c>
      <c r="AZ23" s="75">
        <f>AZ21*'Levellized Salt Sep Plant'!$C$4</f>
        <v>0</v>
      </c>
      <c r="BA23" s="75">
        <f>BA21*'Levellized Salt Sep Plant'!$C$4</f>
        <v>0</v>
      </c>
      <c r="BB23" s="75">
        <f>BB21*'Levellized Salt Sep Plant'!$C$4</f>
        <v>0</v>
      </c>
      <c r="BC23" s="75">
        <f>BC21*'Levellized Salt Sep Plant'!$C$4</f>
        <v>0</v>
      </c>
      <c r="BD23" s="75">
        <f>BD21*'Levellized Salt Sep Plant'!$C$4</f>
        <v>0</v>
      </c>
      <c r="BE23" s="75">
        <f>BE21*'Levellized Salt Sep Plant'!$C$4</f>
        <v>0</v>
      </c>
      <c r="BF23" s="75">
        <f>BF21*'Levellized Salt Sep Plant'!$C$4</f>
        <v>0</v>
      </c>
      <c r="BG23" s="75">
        <f>BG21*'Levellized Salt Sep Plant'!$C$4</f>
        <v>0</v>
      </c>
      <c r="BH23" s="75">
        <f>BH21*'Levellized Salt Sep Plant'!$C$4</f>
        <v>0</v>
      </c>
      <c r="BI23" s="75"/>
    </row>
    <row r="24" spans="1:61" s="74" customFormat="1" hidden="1" x14ac:dyDescent="0.2">
      <c r="A24" s="74" t="s">
        <v>449</v>
      </c>
      <c r="B24" s="121"/>
      <c r="C24" s="75">
        <f>C22*'Levellized Salt Sep Plant'!$C$25</f>
        <v>0</v>
      </c>
      <c r="D24" s="75">
        <f>D22*'Levellized Salt Sep Plant'!$C$25</f>
        <v>0</v>
      </c>
      <c r="E24" s="75">
        <f>E22*'Levellized Salt Sep Plant'!$C$25</f>
        <v>0</v>
      </c>
      <c r="F24" s="75">
        <f>F22*'Levellized Salt Sep Plant'!$C$25</f>
        <v>1894484.9344000001</v>
      </c>
      <c r="G24" s="75">
        <f>G22*'Levellized Salt Sep Plant'!$C$25</f>
        <v>3788969.8688000003</v>
      </c>
      <c r="H24" s="75">
        <f>H22*'Levellized Salt Sep Plant'!$C$25</f>
        <v>5683454.8032000009</v>
      </c>
      <c r="I24" s="75">
        <f>I22*'Levellized Salt Sep Plant'!$C$25</f>
        <v>7577939.7376000006</v>
      </c>
      <c r="J24" s="75">
        <f>J22*'Levellized Salt Sep Plant'!$C$25</f>
        <v>9472424.6720000003</v>
      </c>
      <c r="K24" s="75">
        <f>K22*'Levellized Salt Sep Plant'!$C$25</f>
        <v>11366909.606400002</v>
      </c>
      <c r="L24" s="75">
        <f>L22*'Levellized Salt Sep Plant'!$C$25</f>
        <v>13261394.540800001</v>
      </c>
      <c r="M24" s="75">
        <f>M22*'Levellized Salt Sep Plant'!$C$25</f>
        <v>15155879.475200001</v>
      </c>
      <c r="N24" s="75">
        <f>N22*'Levellized Salt Sep Plant'!$C$25</f>
        <v>15155879.475200001</v>
      </c>
      <c r="O24" s="75">
        <f>O22*'Levellized Salt Sep Plant'!$C$25</f>
        <v>15155879.475200001</v>
      </c>
      <c r="P24" s="75">
        <f>P22*'Levellized Salt Sep Plant'!$C$25</f>
        <v>15155879.475200001</v>
      </c>
      <c r="Q24" s="75">
        <f>Q22*'Levellized Salt Sep Plant'!$C$25</f>
        <v>15155879.475200001</v>
      </c>
      <c r="R24" s="75">
        <f>R22*'Levellized Salt Sep Plant'!$C$25</f>
        <v>15155879.475200001</v>
      </c>
      <c r="S24" s="75">
        <f>S22*'Levellized Salt Sep Plant'!$C$25</f>
        <v>15155879.475200001</v>
      </c>
      <c r="T24" s="75">
        <f>T22*'Levellized Salt Sep Plant'!$C$25</f>
        <v>15155879.475200001</v>
      </c>
      <c r="U24" s="75">
        <f>U22*'Levellized Salt Sep Plant'!$C$25</f>
        <v>15155879.475200001</v>
      </c>
      <c r="V24" s="75">
        <f>V22*'Levellized Salt Sep Plant'!$C$25</f>
        <v>15155879.475200001</v>
      </c>
      <c r="W24" s="75">
        <f>W22*'Levellized Salt Sep Plant'!$C$25</f>
        <v>15155879.475200001</v>
      </c>
      <c r="X24" s="75">
        <f>X22*'Levellized Salt Sep Plant'!$C$25</f>
        <v>15155879.475200001</v>
      </c>
      <c r="Y24" s="75">
        <f>Y22*'Levellized Salt Sep Plant'!$C$25</f>
        <v>15155879.475200001</v>
      </c>
      <c r="Z24" s="75">
        <f>Z22*'Levellized Salt Sep Plant'!$C$25</f>
        <v>15155879.475200001</v>
      </c>
      <c r="AA24" s="75">
        <f>AA22*'Levellized Salt Sep Plant'!$C$25</f>
        <v>15155879.475200001</v>
      </c>
      <c r="AB24" s="75">
        <f>AB22*'Levellized Salt Sep Plant'!$C$25</f>
        <v>15155879.475200001</v>
      </c>
      <c r="AC24" s="75">
        <f>AC22*'Levellized Salt Sep Plant'!$C$25</f>
        <v>15155879.475200001</v>
      </c>
      <c r="AD24" s="75">
        <f>AD22*'Levellized Salt Sep Plant'!$C$25</f>
        <v>15155879.475200001</v>
      </c>
      <c r="AE24" s="75">
        <f>AE22*'Levellized Salt Sep Plant'!$C$25</f>
        <v>15155879.475200001</v>
      </c>
      <c r="AF24" s="75">
        <f>AF22*'Levellized Salt Sep Plant'!$C$25</f>
        <v>15155879.475200001</v>
      </c>
      <c r="AG24" s="75">
        <f>AG22*'Levellized Salt Sep Plant'!$C$25</f>
        <v>15155879.475200001</v>
      </c>
      <c r="AH24" s="75">
        <f>AH22*'Levellized Salt Sep Plant'!$C$25</f>
        <v>15155879.475200001</v>
      </c>
      <c r="AI24" s="75">
        <f>AI22*'Levellized Salt Sep Plant'!$C$25</f>
        <v>15155879.475200001</v>
      </c>
      <c r="AJ24" s="75">
        <f>AJ22*'Levellized Salt Sep Plant'!$C$25</f>
        <v>15155879.475200001</v>
      </c>
      <c r="AK24" s="75">
        <f>AK22*'Levellized Salt Sep Plant'!$C$25</f>
        <v>15155879.475200001</v>
      </c>
      <c r="AL24" s="75">
        <f>AL22*'Levellized Salt Sep Plant'!$C$25</f>
        <v>15155879.475200001</v>
      </c>
      <c r="AM24" s="75">
        <f>AM22*'Levellized Salt Sep Plant'!$C$25</f>
        <v>15155879.475200001</v>
      </c>
      <c r="AN24" s="75">
        <f>AN22*'Levellized Salt Sep Plant'!$C$25</f>
        <v>15155879.475200001</v>
      </c>
      <c r="AO24" s="75">
        <f>AO22*'Levellized Salt Sep Plant'!$C$25</f>
        <v>15155879.475200001</v>
      </c>
      <c r="AP24" s="75">
        <f>AP22*'Levellized Salt Sep Plant'!$C$25</f>
        <v>15155879.475200001</v>
      </c>
      <c r="AQ24" s="75">
        <f>AQ22*'Levellized Salt Sep Plant'!$C$25</f>
        <v>15155879.475200001</v>
      </c>
      <c r="AR24" s="75">
        <f>AR22*'Levellized Salt Sep Plant'!$C$25</f>
        <v>15155879.475200001</v>
      </c>
      <c r="AS24" s="75">
        <f>AS22*'Levellized Salt Sep Plant'!$C$25</f>
        <v>15155879.475200001</v>
      </c>
      <c r="AT24" s="75">
        <f>AT22*'Levellized Salt Sep Plant'!$C$25</f>
        <v>15155879.475200001</v>
      </c>
      <c r="AU24" s="75">
        <f>AU22*'Levellized Salt Sep Plant'!$C$25</f>
        <v>15155879.475200001</v>
      </c>
      <c r="AV24" s="75">
        <f>AV22*'Levellized Salt Sep Plant'!$C$25</f>
        <v>15155879.475200001</v>
      </c>
      <c r="AW24" s="75">
        <f>AW22*'Levellized Salt Sep Plant'!$C$25</f>
        <v>15155879.475200001</v>
      </c>
      <c r="AX24" s="75">
        <f>AX22*'Levellized Salt Sep Plant'!$C$25</f>
        <v>15155879.475200001</v>
      </c>
      <c r="AY24" s="75">
        <f>AY22*'Levellized Salt Sep Plant'!$C$25</f>
        <v>15155879.475200001</v>
      </c>
      <c r="AZ24" s="75">
        <f>AZ22*'Levellized Salt Sep Plant'!$C$25</f>
        <v>15155879.475200001</v>
      </c>
      <c r="BA24" s="75">
        <f>BA22*'Levellized Salt Sep Plant'!$C$25</f>
        <v>15155879.475200001</v>
      </c>
      <c r="BB24" s="75">
        <f>BB22*'Levellized Salt Sep Plant'!$C$25</f>
        <v>15155879.475200001</v>
      </c>
      <c r="BC24" s="75">
        <f>BC22*'Levellized Salt Sep Plant'!$C$25</f>
        <v>15155879.475200001</v>
      </c>
      <c r="BD24" s="75">
        <f>BD22*'Levellized Salt Sep Plant'!$C$25</f>
        <v>15155879.475200001</v>
      </c>
      <c r="BE24" s="75">
        <f>BE22*'Levellized Salt Sep Plant'!$C$25</f>
        <v>15155879.475200001</v>
      </c>
      <c r="BF24" s="75">
        <f>BF22*'Levellized Salt Sep Plant'!$C$25</f>
        <v>15155879.475200001</v>
      </c>
      <c r="BG24" s="75">
        <f>BG22*'Levellized Salt Sep Plant'!$C$25</f>
        <v>15155879.475200001</v>
      </c>
      <c r="BH24" s="75">
        <f>BH22*'Levellized Salt Sep Plant'!$C$25</f>
        <v>15155879.475200001</v>
      </c>
      <c r="BI24" s="75"/>
    </row>
    <row r="25" spans="1:61" s="74" customFormat="1" hidden="1" x14ac:dyDescent="0.2">
      <c r="A25" s="74" t="s">
        <v>503</v>
      </c>
      <c r="B25" s="121"/>
      <c r="C25" s="75">
        <f>C22*'Levellized Salt Sep Plant'!$C$30</f>
        <v>0</v>
      </c>
      <c r="D25" s="75">
        <f>D22*'Levellized Salt Sep Plant'!$C$30</f>
        <v>0</v>
      </c>
      <c r="E25" s="75">
        <f>E22*'Levellized Salt Sep Plant'!$C$30</f>
        <v>0</v>
      </c>
      <c r="F25" s="75">
        <f>F22*'Levellized Salt Sep Plant'!$C$30</f>
        <v>778107</v>
      </c>
      <c r="G25" s="75">
        <f>G22*'Levellized Salt Sep Plant'!$C$30</f>
        <v>1556214</v>
      </c>
      <c r="H25" s="75">
        <f>H22*'Levellized Salt Sep Plant'!$C$30</f>
        <v>2334321</v>
      </c>
      <c r="I25" s="75">
        <f>I22*'Levellized Salt Sep Plant'!$C$30</f>
        <v>3112428</v>
      </c>
      <c r="J25" s="75">
        <f>J22*'Levellized Salt Sep Plant'!$C$30</f>
        <v>3890535</v>
      </c>
      <c r="K25" s="75">
        <f>K22*'Levellized Salt Sep Plant'!$C$30</f>
        <v>4668642</v>
      </c>
      <c r="L25" s="75">
        <f>L22*'Levellized Salt Sep Plant'!$C$30</f>
        <v>5446749</v>
      </c>
      <c r="M25" s="75">
        <f>M22*'Levellized Salt Sep Plant'!$C$30</f>
        <v>6224856</v>
      </c>
      <c r="N25" s="75">
        <f>N22*'Levellized Salt Sep Plant'!$C$30</f>
        <v>6224856</v>
      </c>
      <c r="O25" s="75">
        <f>O22*'Levellized Salt Sep Plant'!$C$30</f>
        <v>6224856</v>
      </c>
      <c r="P25" s="75">
        <f>P22*'Levellized Salt Sep Plant'!$C$30</f>
        <v>6224856</v>
      </c>
      <c r="Q25" s="75">
        <f>Q22*'Levellized Salt Sep Plant'!$C$30</f>
        <v>6224856</v>
      </c>
      <c r="R25" s="75">
        <f>R22*'Levellized Salt Sep Plant'!$C$30</f>
        <v>6224856</v>
      </c>
      <c r="S25" s="75">
        <f>S22*'Levellized Salt Sep Plant'!$C$30</f>
        <v>6224856</v>
      </c>
      <c r="T25" s="75">
        <f>T22*'Levellized Salt Sep Plant'!$C$30</f>
        <v>6224856</v>
      </c>
      <c r="U25" s="75">
        <f>U22*'Levellized Salt Sep Plant'!$C$30</f>
        <v>6224856</v>
      </c>
      <c r="V25" s="75">
        <f>V22*'Levellized Salt Sep Plant'!$C$30</f>
        <v>6224856</v>
      </c>
      <c r="W25" s="75">
        <f>W22*'Levellized Salt Sep Plant'!$C$30</f>
        <v>6224856</v>
      </c>
      <c r="X25" s="75">
        <f>X22*'Levellized Salt Sep Plant'!$C$30</f>
        <v>6224856</v>
      </c>
      <c r="Y25" s="75">
        <f>Y22*'Levellized Salt Sep Plant'!$C$30</f>
        <v>6224856</v>
      </c>
      <c r="Z25" s="75">
        <f>Z22*'Levellized Salt Sep Plant'!$C$30</f>
        <v>6224856</v>
      </c>
      <c r="AA25" s="75">
        <f>AA22*'Levellized Salt Sep Plant'!$C$30</f>
        <v>6224856</v>
      </c>
      <c r="AB25" s="75">
        <f>AB22*'Levellized Salt Sep Plant'!$C$30</f>
        <v>6224856</v>
      </c>
      <c r="AC25" s="75">
        <f>AC22*'Levellized Salt Sep Plant'!$C$30</f>
        <v>6224856</v>
      </c>
      <c r="AD25" s="75">
        <f>AD22*'Levellized Salt Sep Plant'!$C$30</f>
        <v>6224856</v>
      </c>
      <c r="AE25" s="75">
        <f>AE22*'Levellized Salt Sep Plant'!$C$30</f>
        <v>6224856</v>
      </c>
      <c r="AF25" s="75">
        <f>AF22*'Levellized Salt Sep Plant'!$C$30</f>
        <v>6224856</v>
      </c>
      <c r="AG25" s="75">
        <f>AG22*'Levellized Salt Sep Plant'!$C$30</f>
        <v>6224856</v>
      </c>
      <c r="AH25" s="75">
        <f>AH22*'Levellized Salt Sep Plant'!$C$30</f>
        <v>6224856</v>
      </c>
      <c r="AI25" s="75">
        <f>AI22*'Levellized Salt Sep Plant'!$C$30</f>
        <v>6224856</v>
      </c>
      <c r="AJ25" s="75">
        <f>AJ22*'Levellized Salt Sep Plant'!$C$30</f>
        <v>6224856</v>
      </c>
      <c r="AK25" s="75">
        <f>AK22*'Levellized Salt Sep Plant'!$C$30</f>
        <v>6224856</v>
      </c>
      <c r="AL25" s="75">
        <f>AL22*'Levellized Salt Sep Plant'!$C$30</f>
        <v>6224856</v>
      </c>
      <c r="AM25" s="75">
        <f>AM22*'Levellized Salt Sep Plant'!$C$30</f>
        <v>6224856</v>
      </c>
      <c r="AN25" s="75">
        <f>AN22*'Levellized Salt Sep Plant'!$C$30</f>
        <v>6224856</v>
      </c>
      <c r="AO25" s="75">
        <f>AO22*'Levellized Salt Sep Plant'!$C$30</f>
        <v>6224856</v>
      </c>
      <c r="AP25" s="75">
        <f>AP22*'Levellized Salt Sep Plant'!$C$30</f>
        <v>6224856</v>
      </c>
      <c r="AQ25" s="75">
        <f>AQ22*'Levellized Salt Sep Plant'!$C$30</f>
        <v>6224856</v>
      </c>
      <c r="AR25" s="75">
        <f>AR22*'Levellized Salt Sep Plant'!$C$30</f>
        <v>6224856</v>
      </c>
      <c r="AS25" s="75">
        <f>AS22*'Levellized Salt Sep Plant'!$C$30</f>
        <v>6224856</v>
      </c>
      <c r="AT25" s="75">
        <f>AT22*'Levellized Salt Sep Plant'!$C$30</f>
        <v>6224856</v>
      </c>
      <c r="AU25" s="75">
        <f>AU22*'Levellized Salt Sep Plant'!$C$30</f>
        <v>6224856</v>
      </c>
      <c r="AV25" s="75">
        <f>AV22*'Levellized Salt Sep Plant'!$C$30</f>
        <v>6224856</v>
      </c>
      <c r="AW25" s="75">
        <f>AW22*'Levellized Salt Sep Plant'!$C$30</f>
        <v>6224856</v>
      </c>
      <c r="AX25" s="75">
        <f>AX22*'Levellized Salt Sep Plant'!$C$30</f>
        <v>6224856</v>
      </c>
      <c r="AY25" s="75">
        <f>AY22*'Levellized Salt Sep Plant'!$C$30</f>
        <v>6224856</v>
      </c>
      <c r="AZ25" s="75">
        <f>AZ22*'Levellized Salt Sep Plant'!$C$30</f>
        <v>6224856</v>
      </c>
      <c r="BA25" s="75">
        <f>BA22*'Levellized Salt Sep Plant'!$C$30</f>
        <v>6224856</v>
      </c>
      <c r="BB25" s="75">
        <f>BB22*'Levellized Salt Sep Plant'!$C$30</f>
        <v>6224856</v>
      </c>
      <c r="BC25" s="75">
        <f>BC22*'Levellized Salt Sep Plant'!$C$30</f>
        <v>6224856</v>
      </c>
      <c r="BD25" s="75">
        <f>BD22*'Levellized Salt Sep Plant'!$C$30</f>
        <v>6224856</v>
      </c>
      <c r="BE25" s="75">
        <f>BE22*'Levellized Salt Sep Plant'!$C$30</f>
        <v>6224856</v>
      </c>
      <c r="BF25" s="75">
        <f>BF22*'Levellized Salt Sep Plant'!$C$30</f>
        <v>6224856</v>
      </c>
      <c r="BG25" s="75">
        <f>BG22*'Levellized Salt Sep Plant'!$C$30</f>
        <v>6224856</v>
      </c>
      <c r="BH25" s="75">
        <f>BH22*'Levellized Salt Sep Plant'!$C$30</f>
        <v>6224856</v>
      </c>
      <c r="BI25" s="75"/>
    </row>
    <row r="26" spans="1:61" x14ac:dyDescent="0.2">
      <c r="B26" s="3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 x14ac:dyDescent="0.2">
      <c r="A27" t="s">
        <v>8</v>
      </c>
      <c r="B27" s="31"/>
      <c r="C27" s="82">
        <f xml:space="preserve"> IF(C28 &gt; 0, C38/(C38+C28), 0)</f>
        <v>0</v>
      </c>
      <c r="D27" s="82">
        <f t="shared" ref="D27:BH27" si="10" xml:space="preserve"> IF(D28 &gt; 0, D38/(D38+D28), 0)</f>
        <v>0</v>
      </c>
      <c r="E27" s="82">
        <f t="shared" si="10"/>
        <v>0</v>
      </c>
      <c r="F27" s="82">
        <f t="shared" si="10"/>
        <v>0.67296462722076833</v>
      </c>
      <c r="G27" s="82">
        <f t="shared" si="10"/>
        <v>0.67296462722076833</v>
      </c>
      <c r="H27" s="82">
        <f t="shared" si="10"/>
        <v>0.67296462722076833</v>
      </c>
      <c r="I27" s="82">
        <f t="shared" si="10"/>
        <v>0.67296462722076833</v>
      </c>
      <c r="J27" s="82">
        <f t="shared" si="10"/>
        <v>0.67296462722076822</v>
      </c>
      <c r="K27" s="82">
        <f t="shared" si="10"/>
        <v>0.67296462722076833</v>
      </c>
      <c r="L27" s="82">
        <f t="shared" si="10"/>
        <v>0.67296462722076822</v>
      </c>
      <c r="M27" s="82">
        <f t="shared" si="10"/>
        <v>0.67296462722076833</v>
      </c>
      <c r="N27" s="82">
        <f t="shared" si="10"/>
        <v>0.67296462722076833</v>
      </c>
      <c r="O27" s="82">
        <f t="shared" si="10"/>
        <v>0.67296462722076833</v>
      </c>
      <c r="P27" s="82">
        <f t="shared" si="10"/>
        <v>0.67296462722076833</v>
      </c>
      <c r="Q27" s="82">
        <f t="shared" si="10"/>
        <v>0.67296462722076833</v>
      </c>
      <c r="R27" s="82">
        <f t="shared" si="10"/>
        <v>0.67296462722076833</v>
      </c>
      <c r="S27" s="82">
        <f t="shared" si="10"/>
        <v>0.67296462722076833</v>
      </c>
      <c r="T27" s="82">
        <f t="shared" si="10"/>
        <v>0.67296462722076833</v>
      </c>
      <c r="U27" s="82">
        <f t="shared" si="10"/>
        <v>0.67296462722076833</v>
      </c>
      <c r="V27" s="82">
        <f t="shared" si="10"/>
        <v>0.67296462722076833</v>
      </c>
      <c r="W27" s="82">
        <f t="shared" si="10"/>
        <v>0.67296462722076833</v>
      </c>
      <c r="X27" s="82">
        <f t="shared" si="10"/>
        <v>0.67296462722076833</v>
      </c>
      <c r="Y27" s="82">
        <f t="shared" si="10"/>
        <v>0.67296462722076833</v>
      </c>
      <c r="Z27" s="82">
        <f t="shared" si="10"/>
        <v>0.67296462722076833</v>
      </c>
      <c r="AA27" s="82">
        <f t="shared" si="10"/>
        <v>0.67296462722076833</v>
      </c>
      <c r="AB27" s="82">
        <f t="shared" si="10"/>
        <v>0.67296462722076833</v>
      </c>
      <c r="AC27" s="82">
        <f t="shared" si="10"/>
        <v>0.67296462722076833</v>
      </c>
      <c r="AD27" s="82">
        <f t="shared" si="10"/>
        <v>0.67296462722076833</v>
      </c>
      <c r="AE27" s="82">
        <f t="shared" si="10"/>
        <v>0.67296462722076833</v>
      </c>
      <c r="AF27" s="82">
        <f t="shared" si="10"/>
        <v>0.67296462722076833</v>
      </c>
      <c r="AG27" s="82">
        <f t="shared" si="10"/>
        <v>0.67296462722076833</v>
      </c>
      <c r="AH27" s="82">
        <f t="shared" si="10"/>
        <v>0.67296462722076833</v>
      </c>
      <c r="AI27" s="82">
        <f t="shared" si="10"/>
        <v>0.67296462722076833</v>
      </c>
      <c r="AJ27" s="82">
        <f t="shared" si="10"/>
        <v>0.67296462722076833</v>
      </c>
      <c r="AK27" s="82">
        <f t="shared" si="10"/>
        <v>0.67296462722076833</v>
      </c>
      <c r="AL27" s="82">
        <f t="shared" si="10"/>
        <v>0.67296462722076833</v>
      </c>
      <c r="AM27" s="82">
        <f t="shared" si="10"/>
        <v>0.67296462722076833</v>
      </c>
      <c r="AN27" s="82">
        <f t="shared" si="10"/>
        <v>0.67296462722076833</v>
      </c>
      <c r="AO27" s="82">
        <f t="shared" si="10"/>
        <v>0.67296462722076833</v>
      </c>
      <c r="AP27" s="82">
        <f t="shared" si="10"/>
        <v>0.67296462722076833</v>
      </c>
      <c r="AQ27" s="82">
        <f t="shared" si="10"/>
        <v>0.67296462722076833</v>
      </c>
      <c r="AR27" s="82">
        <f t="shared" si="10"/>
        <v>0.67296462722076833</v>
      </c>
      <c r="AS27" s="82">
        <f t="shared" si="10"/>
        <v>0.67296462722076833</v>
      </c>
      <c r="AT27" s="82">
        <f t="shared" si="10"/>
        <v>0.67296462722076833</v>
      </c>
      <c r="AU27" s="82">
        <f t="shared" si="10"/>
        <v>0.67296462722076833</v>
      </c>
      <c r="AV27" s="82">
        <f t="shared" si="10"/>
        <v>0.67296462722076833</v>
      </c>
      <c r="AW27" s="82">
        <f t="shared" si="10"/>
        <v>0.67296462722076833</v>
      </c>
      <c r="AX27" s="82">
        <f t="shared" si="10"/>
        <v>0.67296462722076833</v>
      </c>
      <c r="AY27" s="82">
        <f t="shared" si="10"/>
        <v>0.67296462722076833</v>
      </c>
      <c r="AZ27" s="82">
        <f t="shared" si="10"/>
        <v>0.67296462722076833</v>
      </c>
      <c r="BA27" s="82">
        <f t="shared" si="10"/>
        <v>0.67296462722076833</v>
      </c>
      <c r="BB27" s="82">
        <f t="shared" si="10"/>
        <v>0.67296462722076833</v>
      </c>
      <c r="BC27" s="82">
        <f t="shared" si="10"/>
        <v>0.67296462722076833</v>
      </c>
      <c r="BD27" s="82">
        <f t="shared" si="10"/>
        <v>0.67296462722076833</v>
      </c>
      <c r="BE27" s="82">
        <f t="shared" si="10"/>
        <v>0.67296462722076833</v>
      </c>
      <c r="BF27" s="82">
        <f t="shared" si="10"/>
        <v>0.67296462722076833</v>
      </c>
      <c r="BG27" s="82">
        <f t="shared" si="10"/>
        <v>0.67296462722076833</v>
      </c>
      <c r="BH27" s="82">
        <f t="shared" si="10"/>
        <v>0.67296462722076833</v>
      </c>
      <c r="BI27" s="82"/>
    </row>
    <row r="28" spans="1:61" x14ac:dyDescent="0.2">
      <c r="A28" t="s">
        <v>9</v>
      </c>
      <c r="B28" s="31"/>
      <c r="C28" s="5">
        <f>IF((C22*'Levellized Salt Sep Plant'!$C$41-C38)&gt;0,(C22*'Levellized Salt Sep Plant'!$C$41-C38),0)</f>
        <v>0</v>
      </c>
      <c r="D28" s="5">
        <f>IF((D22*'Levellized Salt Sep Plant'!$C$41-D38)&gt;0,(D22*'Levellized Salt Sep Plant'!$C$41-D38),0)</f>
        <v>0</v>
      </c>
      <c r="E28" s="5">
        <f>IF((E22*'Levellized Salt Sep Plant'!$C$41-E38)&gt;0,(E22*'Levellized Salt Sep Plant'!$C$41-E38),0)</f>
        <v>0</v>
      </c>
      <c r="F28" s="5">
        <f>IF((F22*'Levellized Salt Sep Plant'!$C$41-F38)&gt;0,(F22*'Levellized Salt Sep Plant'!$C$41-F38),0)</f>
        <v>42126.848471783611</v>
      </c>
      <c r="G28" s="5">
        <f>IF((G22*'Levellized Salt Sep Plant'!$C$41-G38)&gt;0,(G22*'Levellized Salt Sep Plant'!$C$41-G38),0)</f>
        <v>84253.696943567222</v>
      </c>
      <c r="H28" s="5">
        <f>IF((H22*'Levellized Salt Sep Plant'!$C$41-H38)&gt;0,(H22*'Levellized Salt Sep Plant'!$C$41-H38),0)</f>
        <v>126380.54541535082</v>
      </c>
      <c r="I28" s="5">
        <f>IF((I22*'Levellized Salt Sep Plant'!$C$41-I38)&gt;0,(I22*'Levellized Salt Sep Plant'!$C$41-I38),0)</f>
        <v>168507.39388713444</v>
      </c>
      <c r="J28" s="5">
        <f>IF((J22*'Levellized Salt Sep Plant'!$C$41-J38)&gt;0,(J22*'Levellized Salt Sep Plant'!$C$41-J38),0)</f>
        <v>210634.24235891807</v>
      </c>
      <c r="K28" s="5">
        <f>IF((K22*'Levellized Salt Sep Plant'!$C$41-K38)&gt;0,(K22*'Levellized Salt Sep Plant'!$C$41-K38),0)</f>
        <v>252761.09083070164</v>
      </c>
      <c r="L28" s="5">
        <f>IF((L22*'Levellized Salt Sep Plant'!$C$41-L38)&gt;0,(L22*'Levellized Salt Sep Plant'!$C$41-L38),0)</f>
        <v>294887.93930248532</v>
      </c>
      <c r="M28" s="5">
        <f>IF((M22*'Levellized Salt Sep Plant'!$C$41-M38)&gt;0,(M22*'Levellized Salt Sep Plant'!$C$41-M38),0)</f>
        <v>337014.78777426889</v>
      </c>
      <c r="N28" s="5">
        <f>IF((N22*'Levellized Salt Sep Plant'!$C$41-N38)&gt;0,(N22*'Levellized Salt Sep Plant'!$C$41-N38),0)</f>
        <v>337014.78777426889</v>
      </c>
      <c r="O28" s="5">
        <f>IF((O22*'Levellized Salt Sep Plant'!$C$41-O38)&gt;0,(O22*'Levellized Salt Sep Plant'!$C$41-O38),0)</f>
        <v>337014.78777426889</v>
      </c>
      <c r="P28" s="5">
        <f>IF((P22*'Levellized Salt Sep Plant'!$C$41-P38)&gt;0,(P22*'Levellized Salt Sep Plant'!$C$41-P38),0)</f>
        <v>337014.78777426889</v>
      </c>
      <c r="Q28" s="5">
        <f>IF((Q22*'Levellized Salt Sep Plant'!$C$41-Q38)&gt;0,(Q22*'Levellized Salt Sep Plant'!$C$41-Q38),0)</f>
        <v>337014.78777426889</v>
      </c>
      <c r="R28" s="5">
        <f>IF((R22*'Levellized Salt Sep Plant'!$C$41-R38)&gt;0,(R22*'Levellized Salt Sep Plant'!$C$41-R38),0)</f>
        <v>337014.78777426889</v>
      </c>
      <c r="S28" s="5">
        <f>IF((S22*'Levellized Salt Sep Plant'!$C$41-S38)&gt;0,(S22*'Levellized Salt Sep Plant'!$C$41-S38),0)</f>
        <v>337014.78777426889</v>
      </c>
      <c r="T28" s="5">
        <f>IF((T22*'Levellized Salt Sep Plant'!$C$41-T38)&gt;0,(T22*'Levellized Salt Sep Plant'!$C$41-T38),0)</f>
        <v>337014.78777426889</v>
      </c>
      <c r="U28" s="5">
        <f>IF((U22*'Levellized Salt Sep Plant'!$C$41-U38)&gt;0,(U22*'Levellized Salt Sep Plant'!$C$41-U38),0)</f>
        <v>337014.78777426889</v>
      </c>
      <c r="V28" s="5">
        <f>IF((V22*'Levellized Salt Sep Plant'!$C$41-V38)&gt;0,(V22*'Levellized Salt Sep Plant'!$C$41-V38),0)</f>
        <v>337014.78777426889</v>
      </c>
      <c r="W28" s="5">
        <f>IF((W22*'Levellized Salt Sep Plant'!$C$41-W38)&gt;0,(W22*'Levellized Salt Sep Plant'!$C$41-W38),0)</f>
        <v>337014.78777426889</v>
      </c>
      <c r="X28" s="5">
        <f>IF((X22*'Levellized Salt Sep Plant'!$C$41-X38)&gt;0,(X22*'Levellized Salt Sep Plant'!$C$41-X38),0)</f>
        <v>337014.78777426889</v>
      </c>
      <c r="Y28" s="5">
        <f>IF((Y22*'Levellized Salt Sep Plant'!$C$41-Y38)&gt;0,(Y22*'Levellized Salt Sep Plant'!$C$41-Y38),0)</f>
        <v>337014.78777426889</v>
      </c>
      <c r="Z28" s="5">
        <f>IF((Z22*'Levellized Salt Sep Plant'!$C$41-Z38)&gt;0,(Z22*'Levellized Salt Sep Plant'!$C$41-Z38),0)</f>
        <v>337014.78777426889</v>
      </c>
      <c r="AA28" s="5">
        <f>IF((AA22*'Levellized Salt Sep Plant'!$C$41-AA38)&gt;0,(AA22*'Levellized Salt Sep Plant'!$C$41-AA38),0)</f>
        <v>337014.78777426889</v>
      </c>
      <c r="AB28" s="5">
        <f>IF((AB22*'Levellized Salt Sep Plant'!$C$41-AB38)&gt;0,(AB22*'Levellized Salt Sep Plant'!$C$41-AB38),0)</f>
        <v>337014.78777426889</v>
      </c>
      <c r="AC28" s="5">
        <f>IF((AC22*'Levellized Salt Sep Plant'!$C$41-AC38)&gt;0,(AC22*'Levellized Salt Sep Plant'!$C$41-AC38),0)</f>
        <v>337014.78777426889</v>
      </c>
      <c r="AD28" s="5">
        <f>IF((AD22*'Levellized Salt Sep Plant'!$C$41-AD38)&gt;0,(AD22*'Levellized Salt Sep Plant'!$C$41-AD38),0)</f>
        <v>337014.78777426889</v>
      </c>
      <c r="AE28" s="5">
        <f>IF((AE22*'Levellized Salt Sep Plant'!$C$41-AE38)&gt;0,(AE22*'Levellized Salt Sep Plant'!$C$41-AE38),0)</f>
        <v>337014.78777426889</v>
      </c>
      <c r="AF28" s="5">
        <f>IF((AF22*'Levellized Salt Sep Plant'!$C$41-AF38)&gt;0,(AF22*'Levellized Salt Sep Plant'!$C$41-AF38),0)</f>
        <v>337014.78777426889</v>
      </c>
      <c r="AG28" s="5">
        <f>IF((AG22*'Levellized Salt Sep Plant'!$C$41-AG38)&gt;0,(AG22*'Levellized Salt Sep Plant'!$C$41-AG38),0)</f>
        <v>337014.78777426889</v>
      </c>
      <c r="AH28" s="5">
        <f>IF((AH22*'Levellized Salt Sep Plant'!$C$41-AH38)&gt;0,(AH22*'Levellized Salt Sep Plant'!$C$41-AH38),0)</f>
        <v>337014.78777426889</v>
      </c>
      <c r="AI28" s="5">
        <f>IF((AI22*'Levellized Salt Sep Plant'!$C$41-AI38)&gt;0,(AI22*'Levellized Salt Sep Plant'!$C$41-AI38),0)</f>
        <v>337014.78777426889</v>
      </c>
      <c r="AJ28" s="5">
        <f>IF((AJ22*'Levellized Salt Sep Plant'!$C$41-AJ38)&gt;0,(AJ22*'Levellized Salt Sep Plant'!$C$41-AJ38),0)</f>
        <v>337014.78777426889</v>
      </c>
      <c r="AK28" s="5">
        <f>IF((AK22*'Levellized Salt Sep Plant'!$C$41-AK38)&gt;0,(AK22*'Levellized Salt Sep Plant'!$C$41-AK38),0)</f>
        <v>337014.78777426889</v>
      </c>
      <c r="AL28" s="5">
        <f>IF((AL22*'Levellized Salt Sep Plant'!$C$41-AL38)&gt;0,(AL22*'Levellized Salt Sep Plant'!$C$41-AL38),0)</f>
        <v>337014.78777426889</v>
      </c>
      <c r="AM28" s="5">
        <f>IF((AM22*'Levellized Salt Sep Plant'!$C$41-AM38)&gt;0,(AM22*'Levellized Salt Sep Plant'!$C$41-AM38),0)</f>
        <v>337014.78777426889</v>
      </c>
      <c r="AN28" s="5">
        <f>IF((AN22*'Levellized Salt Sep Plant'!$C$41-AN38)&gt;0,(AN22*'Levellized Salt Sep Plant'!$C$41-AN38),0)</f>
        <v>337014.78777426889</v>
      </c>
      <c r="AO28" s="5">
        <f>IF((AO22*'Levellized Salt Sep Plant'!$C$41-AO38)&gt;0,(AO22*'Levellized Salt Sep Plant'!$C$41-AO38),0)</f>
        <v>337014.78777426889</v>
      </c>
      <c r="AP28" s="5">
        <f>IF((AP22*'Levellized Salt Sep Plant'!$C$41-AP38)&gt;0,(AP22*'Levellized Salt Sep Plant'!$C$41-AP38),0)</f>
        <v>337014.78777426889</v>
      </c>
      <c r="AQ28" s="5">
        <f>IF((AQ22*'Levellized Salt Sep Plant'!$C$41-AQ38)&gt;0,(AQ22*'Levellized Salt Sep Plant'!$C$41-AQ38),0)</f>
        <v>337014.78777426889</v>
      </c>
      <c r="AR28" s="5">
        <f>IF((AR22*'Levellized Salt Sep Plant'!$C$41-AR38)&gt;0,(AR22*'Levellized Salt Sep Plant'!$C$41-AR38),0)</f>
        <v>337014.78777426889</v>
      </c>
      <c r="AS28" s="5">
        <f>IF((AS22*'Levellized Salt Sep Plant'!$C$41-AS38)&gt;0,(AS22*'Levellized Salt Sep Plant'!$C$41-AS38),0)</f>
        <v>337014.78777426889</v>
      </c>
      <c r="AT28" s="5">
        <f>IF((AT22*'Levellized Salt Sep Plant'!$C$41-AT38)&gt;0,(AT22*'Levellized Salt Sep Plant'!$C$41-AT38),0)</f>
        <v>337014.78777426889</v>
      </c>
      <c r="AU28" s="5">
        <f>IF((AU22*'Levellized Salt Sep Plant'!$C$41-AU38)&gt;0,(AU22*'Levellized Salt Sep Plant'!$C$41-AU38),0)</f>
        <v>337014.78777426889</v>
      </c>
      <c r="AV28" s="5">
        <f>IF((AV22*'Levellized Salt Sep Plant'!$C$41-AV38)&gt;0,(AV22*'Levellized Salt Sep Plant'!$C$41-AV38),0)</f>
        <v>337014.78777426889</v>
      </c>
      <c r="AW28" s="5">
        <f>IF((AW22*'Levellized Salt Sep Plant'!$C$41-AW38)&gt;0,(AW22*'Levellized Salt Sep Plant'!$C$41-AW38),0)</f>
        <v>337014.78777426889</v>
      </c>
      <c r="AX28" s="5">
        <f>IF((AX22*'Levellized Salt Sep Plant'!$C$41-AX38)&gt;0,(AX22*'Levellized Salt Sep Plant'!$C$41-AX38),0)</f>
        <v>337014.78777426889</v>
      </c>
      <c r="AY28" s="5">
        <f>IF((AY22*'Levellized Salt Sep Plant'!$C$41-AY38)&gt;0,(AY22*'Levellized Salt Sep Plant'!$C$41-AY38),0)</f>
        <v>337014.78777426889</v>
      </c>
      <c r="AZ28" s="5">
        <f>IF((AZ22*'Levellized Salt Sep Plant'!$C$41-AZ38)&gt;0,(AZ22*'Levellized Salt Sep Plant'!$C$41-AZ38),0)</f>
        <v>337014.78777426889</v>
      </c>
      <c r="BA28" s="5">
        <f>IF((BA22*'Levellized Salt Sep Plant'!$C$41-BA38)&gt;0,(BA22*'Levellized Salt Sep Plant'!$C$41-BA38),0)</f>
        <v>337014.78777426889</v>
      </c>
      <c r="BB28" s="5">
        <f>IF((BB22*'Levellized Salt Sep Plant'!$C$41-BB38)&gt;0,(BB22*'Levellized Salt Sep Plant'!$C$41-BB38),0)</f>
        <v>337014.78777426889</v>
      </c>
      <c r="BC28" s="5">
        <f>IF((BC22*'Levellized Salt Sep Plant'!$C$41-BC38)&gt;0,(BC22*'Levellized Salt Sep Plant'!$C$41-BC38),0)</f>
        <v>337014.78777426889</v>
      </c>
      <c r="BD28" s="5">
        <f>IF((BD22*'Levellized Salt Sep Plant'!$C$41-BD38)&gt;0,(BD22*'Levellized Salt Sep Plant'!$C$41-BD38),0)</f>
        <v>337014.78777426889</v>
      </c>
      <c r="BE28" s="5">
        <f>IF((BE22*'Levellized Salt Sep Plant'!$C$41-BE38)&gt;0,(BE22*'Levellized Salt Sep Plant'!$C$41-BE38),0)</f>
        <v>337014.78777426889</v>
      </c>
      <c r="BF28" s="5">
        <f>IF((BF22*'Levellized Salt Sep Plant'!$C$41-BF38)&gt;0,(BF22*'Levellized Salt Sep Plant'!$C$41-BF38),0)</f>
        <v>337014.78777426889</v>
      </c>
      <c r="BG28" s="5">
        <f>IF((BG22*'Levellized Salt Sep Plant'!$C$41-BG38)&gt;0,(BG22*'Levellized Salt Sep Plant'!$C$41-BG38),0)</f>
        <v>337014.78777426889</v>
      </c>
      <c r="BH28" s="5">
        <f>IF((BH22*'Levellized Salt Sep Plant'!$C$41-BH38)&gt;0,(BH22*'Levellized Salt Sep Plant'!$C$41-BH38),0)</f>
        <v>337014.78777426889</v>
      </c>
      <c r="BI28" s="5"/>
    </row>
    <row r="29" spans="1:61" s="74" customFormat="1" hidden="1" x14ac:dyDescent="0.2">
      <c r="A29" s="74" t="s">
        <v>10</v>
      </c>
      <c r="B29" s="121"/>
      <c r="C29" s="75">
        <f>IF(C21&gt;0,(D31-C31) * 'Salt Evaporation Pond Costs'!$B$46,0)</f>
        <v>0</v>
      </c>
      <c r="D29" s="75">
        <f>IF(D21&gt;0,(E31-D31) * 'Salt Evaporation Pond Costs'!$B$46,0)</f>
        <v>0</v>
      </c>
      <c r="E29" s="75">
        <f>IF(E21&gt;0,(F31-E31) * 'Salt Evaporation Pond Costs'!$B$46,0)</f>
        <v>264296.86814372474</v>
      </c>
      <c r="F29" s="75">
        <f>IF(F21&gt;0,(G31-F31) * 'Salt Evaporation Pond Costs'!$B$46,0)</f>
        <v>264296.86814372474</v>
      </c>
      <c r="G29" s="75">
        <f>IF(G21&gt;0,(H31-G31) * 'Salt Evaporation Pond Costs'!$B$46,0)</f>
        <v>264296.86814372463</v>
      </c>
      <c r="H29" s="75">
        <f>IF(H21&gt;0,(I31-H31) * 'Salt Evaporation Pond Costs'!$B$46,0)</f>
        <v>264296.86814372492</v>
      </c>
      <c r="I29" s="75">
        <f>IF(I21&gt;0,(J31-I31) * 'Salt Evaporation Pond Costs'!$B$46,0)</f>
        <v>264296.86814372469</v>
      </c>
      <c r="J29" s="75">
        <f>IF(J21&gt;0,(K31-J31) * 'Salt Evaporation Pond Costs'!$B$46,0)</f>
        <v>264296.86814372451</v>
      </c>
      <c r="K29" s="75">
        <f>IF(K21&gt;0,(L31-K31) * 'Salt Evaporation Pond Costs'!$B$46,0)</f>
        <v>264296.86814372509</v>
      </c>
      <c r="L29" s="75">
        <f>IF(L21&gt;0,(M31-L31) * 'Salt Evaporation Pond Costs'!$B$46,0)</f>
        <v>264296.86814372469</v>
      </c>
      <c r="M29" s="75">
        <f>IF(M21&gt;0,(N31-M31) * 'Salt Evaporation Pond Costs'!$B$46,0)</f>
        <v>0</v>
      </c>
      <c r="N29" s="75">
        <f>IF(N21&gt;0,(O31-N31) * 'Salt Evaporation Pond Costs'!$B$46,0)</f>
        <v>0</v>
      </c>
      <c r="O29" s="75">
        <f>IF(O21&gt;0,(P31-O31) * 'Salt Evaporation Pond Costs'!$B$46,0)</f>
        <v>0</v>
      </c>
      <c r="P29" s="75">
        <f>IF(P21&gt;0,(Q31-P31) * 'Salt Evaporation Pond Costs'!$B$46,0)</f>
        <v>0</v>
      </c>
      <c r="Q29" s="75">
        <f>IF(Q21&gt;0,(R31-Q31) * 'Salt Evaporation Pond Costs'!$B$46,0)</f>
        <v>0</v>
      </c>
      <c r="R29" s="75">
        <f>IF(R21&gt;0,(S31-R31) * 'Salt Evaporation Pond Costs'!$B$46,0)</f>
        <v>0</v>
      </c>
      <c r="S29" s="75">
        <f>IF(S21&gt;0,(T31-S31) * 'Salt Evaporation Pond Costs'!$B$46,0)</f>
        <v>0</v>
      </c>
      <c r="T29" s="75">
        <f>IF(T21&gt;0,(U31-T31) * 'Salt Evaporation Pond Costs'!$B$46,0)</f>
        <v>0</v>
      </c>
      <c r="U29" s="75">
        <f>IF(U21&gt;0,(V31-U31) * 'Salt Evaporation Pond Costs'!$B$46,0)</f>
        <v>0</v>
      </c>
      <c r="V29" s="75">
        <f>IF(V21&gt;0,(W31-V31) * 'Salt Evaporation Pond Costs'!$B$46,0)</f>
        <v>0</v>
      </c>
      <c r="W29" s="75">
        <f>IF(W21&gt;0,(X31-W31) * 'Salt Evaporation Pond Costs'!$B$46,0)</f>
        <v>0</v>
      </c>
      <c r="X29" s="75">
        <f>IF(X21&gt;0,(Y31-X31) * 'Salt Evaporation Pond Costs'!$B$46,0)</f>
        <v>0</v>
      </c>
      <c r="Y29" s="75">
        <f>IF(Y21&gt;0,(Z31-Y31) * 'Salt Evaporation Pond Costs'!$B$46,0)</f>
        <v>0</v>
      </c>
      <c r="Z29" s="75">
        <f>IF(Z21&gt;0,(AA31-Z31) * 'Salt Evaporation Pond Costs'!$B$46,0)</f>
        <v>0</v>
      </c>
      <c r="AA29" s="75">
        <f>IF(AA21&gt;0,(AB31-AA31) * 'Salt Evaporation Pond Costs'!$B$46,0)</f>
        <v>0</v>
      </c>
      <c r="AB29" s="75">
        <f>IF(AB21&gt;0,(AC31-AB31) * 'Salt Evaporation Pond Costs'!$B$46,0)</f>
        <v>0</v>
      </c>
      <c r="AC29" s="75">
        <f>IF(AC21&gt;0,(AD31-AC31) * 'Salt Evaporation Pond Costs'!$B$46,0)</f>
        <v>0</v>
      </c>
      <c r="AD29" s="75">
        <f>IF(AD21&gt;0,(AE31-AD31) * 'Salt Evaporation Pond Costs'!$B$46,0)</f>
        <v>0</v>
      </c>
      <c r="AE29" s="75">
        <f>IF(AE21&gt;0,(AF31-AE31) * 'Salt Evaporation Pond Costs'!$B$46,0)</f>
        <v>0</v>
      </c>
      <c r="AF29" s="75">
        <f>IF(AF21&gt;0,(AG31-AF31) * 'Salt Evaporation Pond Costs'!$B$46,0)</f>
        <v>0</v>
      </c>
      <c r="AG29" s="75">
        <f>IF(AG21&gt;0,(AH31-AG31) * 'Salt Evaporation Pond Costs'!$B$46,0)</f>
        <v>0</v>
      </c>
      <c r="AH29" s="75">
        <f>IF(AH21&gt;0,(AI31-AH31) * 'Salt Evaporation Pond Costs'!$B$46,0)</f>
        <v>0</v>
      </c>
      <c r="AI29" s="75">
        <f>IF(AI21&gt;0,(AJ31-AI31) * 'Salt Evaporation Pond Costs'!$B$46,0)</f>
        <v>0</v>
      </c>
      <c r="AJ29" s="75">
        <f>IF(AJ21&gt;0,(AK31-AJ31) * 'Salt Evaporation Pond Costs'!$B$46,0)</f>
        <v>0</v>
      </c>
      <c r="AK29" s="75">
        <f>IF(AK21&gt;0,(AL31-AK31) * 'Salt Evaporation Pond Costs'!$B$46,0)</f>
        <v>0</v>
      </c>
      <c r="AL29" s="75">
        <f>IF(AL21&gt;0,(AM31-AL31) * 'Salt Evaporation Pond Costs'!$B$46,0)</f>
        <v>0</v>
      </c>
      <c r="AM29" s="75">
        <f>IF(AM21&gt;0,(BI31-AM31) * 'Salt Evaporation Pond Costs'!$B$46,0)</f>
        <v>0</v>
      </c>
      <c r="AN29" s="75">
        <f>IF(AN21&gt;0,(BJ31-AN31) * 'Salt Evaporation Pond Costs'!$B$46,0)</f>
        <v>0</v>
      </c>
      <c r="AO29" s="75">
        <f>IF(AO21&gt;0,(BK31-AO31) * 'Salt Evaporation Pond Costs'!$B$46,0)</f>
        <v>0</v>
      </c>
      <c r="AP29" s="75">
        <f>IF(AP21&gt;0,(BL31-AP31) * 'Salt Evaporation Pond Costs'!$B$46,0)</f>
        <v>0</v>
      </c>
      <c r="AQ29" s="75">
        <f>IF(AQ21&gt;0,(BM31-AQ31) * 'Salt Evaporation Pond Costs'!$B$46,0)</f>
        <v>0</v>
      </c>
      <c r="AR29" s="75">
        <f>IF(AR21&gt;0,(BN31-AR31) * 'Salt Evaporation Pond Costs'!$B$46,0)</f>
        <v>0</v>
      </c>
      <c r="AS29" s="75">
        <f>IF(AS21&gt;0,(BO31-AS31) * 'Salt Evaporation Pond Costs'!$B$46,0)</f>
        <v>0</v>
      </c>
      <c r="AT29" s="75">
        <f>IF(AT21&gt;0,(BP31-AT31) * 'Salt Evaporation Pond Costs'!$B$46,0)</f>
        <v>0</v>
      </c>
      <c r="AU29" s="75">
        <f>IF(AU21&gt;0,(BQ31-AU31) * 'Salt Evaporation Pond Costs'!$B$46,0)</f>
        <v>0</v>
      </c>
      <c r="AV29" s="75">
        <f>IF(AV21&gt;0,(BR31-AV31) * 'Salt Evaporation Pond Costs'!$B$46,0)</f>
        <v>0</v>
      </c>
      <c r="AW29" s="75">
        <f>IF(AW21&gt;0,(BS31-AW31) * 'Salt Evaporation Pond Costs'!$B$46,0)</f>
        <v>0</v>
      </c>
      <c r="AX29" s="75">
        <f>IF(AX21&gt;0,(BT31-AX31) * 'Salt Evaporation Pond Costs'!$B$46,0)</f>
        <v>0</v>
      </c>
      <c r="AY29" s="75">
        <f>IF(AY21&gt;0,(BU31-AY31) * 'Salt Evaporation Pond Costs'!$B$46,0)</f>
        <v>0</v>
      </c>
      <c r="AZ29" s="75">
        <f>IF(AZ21&gt;0,(BV31-AZ31) * 'Salt Evaporation Pond Costs'!$B$46,0)</f>
        <v>0</v>
      </c>
      <c r="BA29" s="75">
        <f>IF(BA21&gt;0,(BW31-BA31) * 'Salt Evaporation Pond Costs'!$B$46,0)</f>
        <v>0</v>
      </c>
      <c r="BB29" s="75">
        <f>IF(BB21&gt;0,(BX31-BB31) * 'Salt Evaporation Pond Costs'!$B$46,0)</f>
        <v>0</v>
      </c>
      <c r="BC29" s="75">
        <f>IF(BC21&gt;0,(BY31-BC31) * 'Salt Evaporation Pond Costs'!$B$46,0)</f>
        <v>0</v>
      </c>
      <c r="BD29" s="75">
        <f>IF(BD21&gt;0,(BZ31-BD31) * 'Salt Evaporation Pond Costs'!$B$46,0)</f>
        <v>0</v>
      </c>
      <c r="BE29" s="75">
        <f>IF(BE21&gt;0,(CA31-BE31) * 'Salt Evaporation Pond Costs'!$B$46,0)</f>
        <v>0</v>
      </c>
      <c r="BF29" s="75">
        <f>IF(BF21&gt;0,(CB31-BF31) * 'Salt Evaporation Pond Costs'!$B$46,0)</f>
        <v>0</v>
      </c>
      <c r="BG29" s="75">
        <f>IF(BG21&gt;0,(CC31-BG31) * 'Salt Evaporation Pond Costs'!$B$46,0)</f>
        <v>0</v>
      </c>
      <c r="BH29" s="75">
        <f>IF(BH21&gt;0,(CD31-BH31) * 'Salt Evaporation Pond Costs'!$B$46,0)</f>
        <v>0</v>
      </c>
      <c r="BI29" s="75"/>
    </row>
    <row r="30" spans="1:61" s="74" customFormat="1" hidden="1" x14ac:dyDescent="0.2">
      <c r="A30" s="74" t="s">
        <v>11</v>
      </c>
      <c r="B30" s="121"/>
      <c r="C30" s="75">
        <f>C31 * 'Salt Evaporation Pond Costs'!$B$53</f>
        <v>0</v>
      </c>
      <c r="D30" s="75">
        <f>D31 * 'Salt Evaporation Pond Costs'!$B$53</f>
        <v>0</v>
      </c>
      <c r="E30" s="75">
        <f>E31 * 'Salt Evaporation Pond Costs'!$B$53</f>
        <v>0</v>
      </c>
      <c r="F30" s="75">
        <f>F31 * 'Salt Evaporation Pond Costs'!$B$53</f>
        <v>16369.807066042984</v>
      </c>
      <c r="G30" s="75">
        <f>G31 * 'Salt Evaporation Pond Costs'!$B$53</f>
        <v>32739.614132085968</v>
      </c>
      <c r="H30" s="75">
        <f>H31 * 'Salt Evaporation Pond Costs'!$B$53</f>
        <v>49109.421198128948</v>
      </c>
      <c r="I30" s="75">
        <f>I31 * 'Salt Evaporation Pond Costs'!$B$53</f>
        <v>65479.228264171936</v>
      </c>
      <c r="J30" s="75">
        <f>J31 * 'Salt Evaporation Pond Costs'!$B$53</f>
        <v>81849.035330214916</v>
      </c>
      <c r="K30" s="75">
        <f>K31 * 'Salt Evaporation Pond Costs'!$B$53</f>
        <v>98218.842396257896</v>
      </c>
      <c r="L30" s="75">
        <f>L31 * 'Salt Evaporation Pond Costs'!$B$53</f>
        <v>114588.64946230089</v>
      </c>
      <c r="M30" s="75">
        <f>M31 * 'Salt Evaporation Pond Costs'!$B$53</f>
        <v>130958.45652834387</v>
      </c>
      <c r="N30" s="75">
        <f>N31 * 'Salt Evaporation Pond Costs'!$B$53</f>
        <v>130958.45652834387</v>
      </c>
      <c r="O30" s="75">
        <f>O31 * 'Salt Evaporation Pond Costs'!$B$53</f>
        <v>130958.45652834387</v>
      </c>
      <c r="P30" s="75">
        <f>P31 * 'Salt Evaporation Pond Costs'!$B$53</f>
        <v>130958.45652834387</v>
      </c>
      <c r="Q30" s="75">
        <f>Q31 * 'Salt Evaporation Pond Costs'!$B$53</f>
        <v>130958.45652834387</v>
      </c>
      <c r="R30" s="75">
        <f>R31 * 'Salt Evaporation Pond Costs'!$B$53</f>
        <v>130958.45652834387</v>
      </c>
      <c r="S30" s="75">
        <f>S31 * 'Salt Evaporation Pond Costs'!$B$53</f>
        <v>130958.45652834387</v>
      </c>
      <c r="T30" s="75">
        <f>T31 * 'Salt Evaporation Pond Costs'!$B$53</f>
        <v>130958.45652834387</v>
      </c>
      <c r="U30" s="75">
        <f>U31 * 'Salt Evaporation Pond Costs'!$B$53</f>
        <v>130958.45652834387</v>
      </c>
      <c r="V30" s="75">
        <f>V31 * 'Salt Evaporation Pond Costs'!$B$53</f>
        <v>130958.45652834387</v>
      </c>
      <c r="W30" s="75">
        <f>W31 * 'Salt Evaporation Pond Costs'!$B$53</f>
        <v>130958.45652834387</v>
      </c>
      <c r="X30" s="75">
        <f>X31 * 'Salt Evaporation Pond Costs'!$B$53</f>
        <v>130958.45652834387</v>
      </c>
      <c r="Y30" s="75">
        <f>Y31 * 'Salt Evaporation Pond Costs'!$B$53</f>
        <v>130958.45652834387</v>
      </c>
      <c r="Z30" s="75">
        <f>Z31 * 'Salt Evaporation Pond Costs'!$B$53</f>
        <v>130958.45652834387</v>
      </c>
      <c r="AA30" s="75">
        <f>AA31 * 'Salt Evaporation Pond Costs'!$B$53</f>
        <v>130958.45652834387</v>
      </c>
      <c r="AB30" s="75">
        <f>AB31 * 'Salt Evaporation Pond Costs'!$B$53</f>
        <v>130958.45652834387</v>
      </c>
      <c r="AC30" s="75">
        <f>AC31 * 'Salt Evaporation Pond Costs'!$B$53</f>
        <v>130958.45652834387</v>
      </c>
      <c r="AD30" s="75">
        <f>AD31 * 'Salt Evaporation Pond Costs'!$B$53</f>
        <v>130958.45652834387</v>
      </c>
      <c r="AE30" s="75">
        <f>AE31 * 'Salt Evaporation Pond Costs'!$B$53</f>
        <v>130958.45652834387</v>
      </c>
      <c r="AF30" s="75">
        <f>AF31 * 'Salt Evaporation Pond Costs'!$B$53</f>
        <v>130958.45652834387</v>
      </c>
      <c r="AG30" s="75">
        <f>AG31 * 'Salt Evaporation Pond Costs'!$B$53</f>
        <v>130958.45652834387</v>
      </c>
      <c r="AH30" s="75">
        <f>AH31 * 'Salt Evaporation Pond Costs'!$B$53</f>
        <v>130958.45652834387</v>
      </c>
      <c r="AI30" s="75">
        <f>AI31 * 'Salt Evaporation Pond Costs'!$B$53</f>
        <v>130958.45652834387</v>
      </c>
      <c r="AJ30" s="75">
        <f>AJ31 * 'Salt Evaporation Pond Costs'!$B$53</f>
        <v>130958.45652834387</v>
      </c>
      <c r="AK30" s="75">
        <f>AK31 * 'Salt Evaporation Pond Costs'!$B$53</f>
        <v>130958.45652834387</v>
      </c>
      <c r="AL30" s="75">
        <f>AL31 * 'Salt Evaporation Pond Costs'!$B$53</f>
        <v>130958.45652834387</v>
      </c>
      <c r="AM30" s="75">
        <f>AM31 * 'Salt Evaporation Pond Costs'!$B$53</f>
        <v>130958.45652834387</v>
      </c>
      <c r="AN30" s="75">
        <f>AN31 * 'Salt Evaporation Pond Costs'!$B$53</f>
        <v>130958.45652834387</v>
      </c>
      <c r="AO30" s="75">
        <f>AO31 * 'Salt Evaporation Pond Costs'!$B$53</f>
        <v>130958.45652834387</v>
      </c>
      <c r="AP30" s="75">
        <f>AP31 * 'Salt Evaporation Pond Costs'!$B$53</f>
        <v>130958.45652834387</v>
      </c>
      <c r="AQ30" s="75">
        <f>AQ31 * 'Salt Evaporation Pond Costs'!$B$53</f>
        <v>130958.45652834387</v>
      </c>
      <c r="AR30" s="75">
        <f>AR31 * 'Salt Evaporation Pond Costs'!$B$53</f>
        <v>130958.45652834387</v>
      </c>
      <c r="AS30" s="75">
        <f>AS31 * 'Salt Evaporation Pond Costs'!$B$53</f>
        <v>130958.45652834387</v>
      </c>
      <c r="AT30" s="75">
        <f>AT31 * 'Salt Evaporation Pond Costs'!$B$53</f>
        <v>130958.45652834387</v>
      </c>
      <c r="AU30" s="75">
        <f>AU31 * 'Salt Evaporation Pond Costs'!$B$53</f>
        <v>130958.45652834387</v>
      </c>
      <c r="AV30" s="75">
        <f>AV31 * 'Salt Evaporation Pond Costs'!$B$53</f>
        <v>130958.45652834387</v>
      </c>
      <c r="AW30" s="75">
        <f>AW31 * 'Salt Evaporation Pond Costs'!$B$53</f>
        <v>130958.45652834387</v>
      </c>
      <c r="AX30" s="75">
        <f>AX31 * 'Salt Evaporation Pond Costs'!$B$53</f>
        <v>130958.45652834387</v>
      </c>
      <c r="AY30" s="75">
        <f>AY31 * 'Salt Evaporation Pond Costs'!$B$53</f>
        <v>130958.45652834387</v>
      </c>
      <c r="AZ30" s="75">
        <f>AZ31 * 'Salt Evaporation Pond Costs'!$B$53</f>
        <v>130958.45652834387</v>
      </c>
      <c r="BA30" s="75">
        <f>BA31 * 'Salt Evaporation Pond Costs'!$B$53</f>
        <v>130958.45652834387</v>
      </c>
      <c r="BB30" s="75">
        <f>BB31 * 'Salt Evaporation Pond Costs'!$B$53</f>
        <v>130958.45652834387</v>
      </c>
      <c r="BC30" s="75">
        <f>BC31 * 'Salt Evaporation Pond Costs'!$B$53</f>
        <v>130958.45652834387</v>
      </c>
      <c r="BD30" s="75">
        <f>BD31 * 'Salt Evaporation Pond Costs'!$B$53</f>
        <v>130958.45652834387</v>
      </c>
      <c r="BE30" s="75">
        <f>BE31 * 'Salt Evaporation Pond Costs'!$B$53</f>
        <v>130958.45652834387</v>
      </c>
      <c r="BF30" s="75">
        <f>BF31 * 'Salt Evaporation Pond Costs'!$B$53</f>
        <v>130958.45652834387</v>
      </c>
      <c r="BG30" s="75">
        <f>BG31 * 'Salt Evaporation Pond Costs'!$B$53</f>
        <v>130958.45652834387</v>
      </c>
      <c r="BH30" s="75">
        <f>BH31 * 'Salt Evaporation Pond Costs'!$B$53</f>
        <v>130958.45652834387</v>
      </c>
      <c r="BI30" s="75"/>
    </row>
    <row r="31" spans="1:61" s="100" customFormat="1" x14ac:dyDescent="0.2">
      <c r="A31" s="100" t="s">
        <v>570</v>
      </c>
      <c r="B31" s="122"/>
      <c r="C31" s="101">
        <f xml:space="preserve"> C28 / 'Salt Evaporation Pond Costs'!$B$62</f>
        <v>0</v>
      </c>
      <c r="D31" s="101">
        <f xml:space="preserve"> D28 / 'Salt Evaporation Pond Costs'!$B$62</f>
        <v>0</v>
      </c>
      <c r="E31" s="101">
        <f xml:space="preserve"> E28 / 'Salt Evaporation Pond Costs'!$B$62</f>
        <v>0</v>
      </c>
      <c r="F31" s="101">
        <f xml:space="preserve"> F28 / 'Salt Evaporation Pond Costs'!$B$62</f>
        <v>9.5729865883292309</v>
      </c>
      <c r="G31" s="101">
        <f xml:space="preserve"> G28 / 'Salt Evaporation Pond Costs'!$B$62</f>
        <v>19.145973176658462</v>
      </c>
      <c r="H31" s="101">
        <f xml:space="preserve"> H28 / 'Salt Evaporation Pond Costs'!$B$62</f>
        <v>28.718959764987687</v>
      </c>
      <c r="I31" s="101">
        <f xml:space="preserve"> I28 / 'Salt Evaporation Pond Costs'!$B$62</f>
        <v>38.291946353316924</v>
      </c>
      <c r="J31" s="101">
        <f xml:space="preserve"> J28 / 'Salt Evaporation Pond Costs'!$B$62</f>
        <v>47.864932941646153</v>
      </c>
      <c r="K31" s="101">
        <f xml:space="preserve"> K28 / 'Salt Evaporation Pond Costs'!$B$62</f>
        <v>57.437919529975375</v>
      </c>
      <c r="L31" s="101">
        <f xml:space="preserve"> L28 / 'Salt Evaporation Pond Costs'!$B$62</f>
        <v>67.010906118304618</v>
      </c>
      <c r="M31" s="101">
        <f xml:space="preserve"> M28 / 'Salt Evaporation Pond Costs'!$B$62</f>
        <v>76.583892706633847</v>
      </c>
      <c r="N31" s="101">
        <f xml:space="preserve"> N28 / 'Salt Evaporation Pond Costs'!$B$62</f>
        <v>76.583892706633847</v>
      </c>
      <c r="O31" s="101">
        <f xml:space="preserve"> O28 / 'Salt Evaporation Pond Costs'!$B$62</f>
        <v>76.583892706633847</v>
      </c>
      <c r="P31" s="101">
        <f xml:space="preserve"> P28 / 'Salt Evaporation Pond Costs'!$B$62</f>
        <v>76.583892706633847</v>
      </c>
      <c r="Q31" s="101">
        <f xml:space="preserve"> Q28 / 'Salt Evaporation Pond Costs'!$B$62</f>
        <v>76.583892706633847</v>
      </c>
      <c r="R31" s="101">
        <f xml:space="preserve"> R28 / 'Salt Evaporation Pond Costs'!$B$62</f>
        <v>76.583892706633847</v>
      </c>
      <c r="S31" s="101">
        <f xml:space="preserve"> S28 / 'Salt Evaporation Pond Costs'!$B$62</f>
        <v>76.583892706633847</v>
      </c>
      <c r="T31" s="101">
        <f xml:space="preserve"> T28 / 'Salt Evaporation Pond Costs'!$B$62</f>
        <v>76.583892706633847</v>
      </c>
      <c r="U31" s="101">
        <f xml:space="preserve"> U28 / 'Salt Evaporation Pond Costs'!$B$62</f>
        <v>76.583892706633847</v>
      </c>
      <c r="V31" s="101">
        <f xml:space="preserve"> V28 / 'Salt Evaporation Pond Costs'!$B$62</f>
        <v>76.583892706633847</v>
      </c>
      <c r="W31" s="101">
        <f xml:space="preserve"> W28 / 'Salt Evaporation Pond Costs'!$B$62</f>
        <v>76.583892706633847</v>
      </c>
      <c r="X31" s="101">
        <f xml:space="preserve"> X28 / 'Salt Evaporation Pond Costs'!$B$62</f>
        <v>76.583892706633847</v>
      </c>
      <c r="Y31" s="101">
        <f xml:space="preserve"> Y28 / 'Salt Evaporation Pond Costs'!$B$62</f>
        <v>76.583892706633847</v>
      </c>
      <c r="Z31" s="101">
        <f xml:space="preserve"> Z28 / 'Salt Evaporation Pond Costs'!$B$62</f>
        <v>76.583892706633847</v>
      </c>
      <c r="AA31" s="101">
        <f xml:space="preserve"> AA28 / 'Salt Evaporation Pond Costs'!$B$62</f>
        <v>76.583892706633847</v>
      </c>
      <c r="AB31" s="101">
        <f xml:space="preserve"> AB28 / 'Salt Evaporation Pond Costs'!$B$62</f>
        <v>76.583892706633847</v>
      </c>
      <c r="AC31" s="101">
        <f xml:space="preserve"> AC28 / 'Salt Evaporation Pond Costs'!$B$62</f>
        <v>76.583892706633847</v>
      </c>
      <c r="AD31" s="101">
        <f xml:space="preserve"> AD28 / 'Salt Evaporation Pond Costs'!$B$62</f>
        <v>76.583892706633847</v>
      </c>
      <c r="AE31" s="101">
        <f xml:space="preserve"> AE28 / 'Salt Evaporation Pond Costs'!$B$62</f>
        <v>76.583892706633847</v>
      </c>
      <c r="AF31" s="101">
        <f xml:space="preserve"> AF28 / 'Salt Evaporation Pond Costs'!$B$62</f>
        <v>76.583892706633847</v>
      </c>
      <c r="AG31" s="101">
        <f xml:space="preserve"> AG28 / 'Salt Evaporation Pond Costs'!$B$62</f>
        <v>76.583892706633847</v>
      </c>
      <c r="AH31" s="101">
        <f xml:space="preserve"> AH28 / 'Salt Evaporation Pond Costs'!$B$62</f>
        <v>76.583892706633847</v>
      </c>
      <c r="AI31" s="101">
        <f xml:space="preserve"> AI28 / 'Salt Evaporation Pond Costs'!$B$62</f>
        <v>76.583892706633847</v>
      </c>
      <c r="AJ31" s="101">
        <f xml:space="preserve"> AJ28 / 'Salt Evaporation Pond Costs'!$B$62</f>
        <v>76.583892706633847</v>
      </c>
      <c r="AK31" s="101">
        <f xml:space="preserve"> AK28 / 'Salt Evaporation Pond Costs'!$B$62</f>
        <v>76.583892706633847</v>
      </c>
      <c r="AL31" s="101">
        <f xml:space="preserve"> AL28 / 'Salt Evaporation Pond Costs'!$B$62</f>
        <v>76.583892706633847</v>
      </c>
      <c r="AM31" s="101">
        <f xml:space="preserve"> AM28 / 'Salt Evaporation Pond Costs'!$B$62</f>
        <v>76.583892706633847</v>
      </c>
      <c r="AN31" s="101">
        <f xml:space="preserve"> AN28 / 'Salt Evaporation Pond Costs'!$B$62</f>
        <v>76.583892706633847</v>
      </c>
      <c r="AO31" s="101">
        <f xml:space="preserve"> AO28 / 'Salt Evaporation Pond Costs'!$B$62</f>
        <v>76.583892706633847</v>
      </c>
      <c r="AP31" s="101">
        <f xml:space="preserve"> AP28 / 'Salt Evaporation Pond Costs'!$B$62</f>
        <v>76.583892706633847</v>
      </c>
      <c r="AQ31" s="101">
        <f xml:space="preserve"> AQ28 / 'Salt Evaporation Pond Costs'!$B$62</f>
        <v>76.583892706633847</v>
      </c>
      <c r="AR31" s="101">
        <f xml:space="preserve"> AR28 / 'Salt Evaporation Pond Costs'!$B$62</f>
        <v>76.583892706633847</v>
      </c>
      <c r="AS31" s="101">
        <f xml:space="preserve"> AS28 / 'Salt Evaporation Pond Costs'!$B$62</f>
        <v>76.583892706633847</v>
      </c>
      <c r="AT31" s="101">
        <f xml:space="preserve"> AT28 / 'Salt Evaporation Pond Costs'!$B$62</f>
        <v>76.583892706633847</v>
      </c>
      <c r="AU31" s="101">
        <f xml:space="preserve"> AU28 / 'Salt Evaporation Pond Costs'!$B$62</f>
        <v>76.583892706633847</v>
      </c>
      <c r="AV31" s="101">
        <f xml:space="preserve"> AV28 / 'Salt Evaporation Pond Costs'!$B$62</f>
        <v>76.583892706633847</v>
      </c>
      <c r="AW31" s="101">
        <f xml:space="preserve"> AW28 / 'Salt Evaporation Pond Costs'!$B$62</f>
        <v>76.583892706633847</v>
      </c>
      <c r="AX31" s="101">
        <f xml:space="preserve"> AX28 / 'Salt Evaporation Pond Costs'!$B$62</f>
        <v>76.583892706633847</v>
      </c>
      <c r="AY31" s="101">
        <f xml:space="preserve"> AY28 / 'Salt Evaporation Pond Costs'!$B$62</f>
        <v>76.583892706633847</v>
      </c>
      <c r="AZ31" s="101">
        <f xml:space="preserve"> AZ28 / 'Salt Evaporation Pond Costs'!$B$62</f>
        <v>76.583892706633847</v>
      </c>
      <c r="BA31" s="101">
        <f xml:space="preserve"> BA28 / 'Salt Evaporation Pond Costs'!$B$62</f>
        <v>76.583892706633847</v>
      </c>
      <c r="BB31" s="101">
        <f xml:space="preserve"> BB28 / 'Salt Evaporation Pond Costs'!$B$62</f>
        <v>76.583892706633847</v>
      </c>
      <c r="BC31" s="101">
        <f xml:space="preserve"> BC28 / 'Salt Evaporation Pond Costs'!$B$62</f>
        <v>76.583892706633847</v>
      </c>
      <c r="BD31" s="101">
        <f xml:space="preserve"> BD28 / 'Salt Evaporation Pond Costs'!$B$62</f>
        <v>76.583892706633847</v>
      </c>
      <c r="BE31" s="101">
        <f xml:space="preserve"> BE28 / 'Salt Evaporation Pond Costs'!$B$62</f>
        <v>76.583892706633847</v>
      </c>
      <c r="BF31" s="101">
        <f xml:space="preserve"> BF28 / 'Salt Evaporation Pond Costs'!$B$62</f>
        <v>76.583892706633847</v>
      </c>
      <c r="BG31" s="101">
        <f xml:space="preserve"> BG28 / 'Salt Evaporation Pond Costs'!$B$62</f>
        <v>76.583892706633847</v>
      </c>
      <c r="BH31" s="101">
        <f xml:space="preserve"> BH28 / 'Salt Evaporation Pond Costs'!$B$62</f>
        <v>76.583892706633847</v>
      </c>
      <c r="BI31" s="102"/>
    </row>
    <row r="32" spans="1:61" hidden="1" x14ac:dyDescent="0.2">
      <c r="A32" t="s">
        <v>560</v>
      </c>
      <c r="B32" s="86">
        <v>2.1</v>
      </c>
      <c r="C32" s="78">
        <v>90</v>
      </c>
      <c r="D32" s="10">
        <f xml:space="preserve"> C32 + $B32</f>
        <v>92.1</v>
      </c>
      <c r="E32" s="10">
        <f t="shared" ref="E32:BH32" si="11" xml:space="preserve"> D32 + $B32</f>
        <v>94.199999999999989</v>
      </c>
      <c r="F32" s="10">
        <f t="shared" si="11"/>
        <v>96.299999999999983</v>
      </c>
      <c r="G32" s="10">
        <f t="shared" si="11"/>
        <v>98.399999999999977</v>
      </c>
      <c r="H32" s="10">
        <f t="shared" si="11"/>
        <v>100.49999999999997</v>
      </c>
      <c r="I32" s="10">
        <f t="shared" si="11"/>
        <v>102.59999999999997</v>
      </c>
      <c r="J32" s="10">
        <f t="shared" si="11"/>
        <v>104.69999999999996</v>
      </c>
      <c r="K32" s="10">
        <f t="shared" si="11"/>
        <v>106.79999999999995</v>
      </c>
      <c r="L32" s="10">
        <f t="shared" si="11"/>
        <v>108.89999999999995</v>
      </c>
      <c r="M32" s="10">
        <f t="shared" si="11"/>
        <v>110.99999999999994</v>
      </c>
      <c r="N32" s="10">
        <f t="shared" si="11"/>
        <v>113.09999999999994</v>
      </c>
      <c r="O32" s="10">
        <f t="shared" si="11"/>
        <v>115.19999999999993</v>
      </c>
      <c r="P32" s="10">
        <f t="shared" si="11"/>
        <v>117.29999999999993</v>
      </c>
      <c r="Q32" s="10">
        <f t="shared" si="11"/>
        <v>119.39999999999992</v>
      </c>
      <c r="R32" s="10">
        <f t="shared" si="11"/>
        <v>121.49999999999991</v>
      </c>
      <c r="S32" s="10">
        <f t="shared" si="11"/>
        <v>123.59999999999991</v>
      </c>
      <c r="T32" s="10">
        <f t="shared" si="11"/>
        <v>125.6999999999999</v>
      </c>
      <c r="U32" s="10">
        <f t="shared" si="11"/>
        <v>127.7999999999999</v>
      </c>
      <c r="V32" s="10">
        <f t="shared" si="11"/>
        <v>129.89999999999989</v>
      </c>
      <c r="W32" s="10">
        <f t="shared" si="11"/>
        <v>131.99999999999989</v>
      </c>
      <c r="X32" s="10">
        <f t="shared" si="11"/>
        <v>134.09999999999988</v>
      </c>
      <c r="Y32" s="10">
        <f t="shared" si="11"/>
        <v>136.19999999999987</v>
      </c>
      <c r="Z32" s="10">
        <f t="shared" si="11"/>
        <v>138.29999999999987</v>
      </c>
      <c r="AA32" s="10">
        <f t="shared" si="11"/>
        <v>140.39999999999986</v>
      </c>
      <c r="AB32" s="10">
        <f t="shared" si="11"/>
        <v>142.49999999999986</v>
      </c>
      <c r="AC32" s="10">
        <f t="shared" si="11"/>
        <v>144.59999999999985</v>
      </c>
      <c r="AD32" s="10">
        <f t="shared" si="11"/>
        <v>146.69999999999985</v>
      </c>
      <c r="AE32" s="10">
        <f t="shared" si="11"/>
        <v>148.79999999999984</v>
      </c>
      <c r="AF32" s="10">
        <f t="shared" si="11"/>
        <v>150.89999999999984</v>
      </c>
      <c r="AG32" s="10">
        <f t="shared" si="11"/>
        <v>152.99999999999983</v>
      </c>
      <c r="AH32" s="10">
        <f t="shared" si="11"/>
        <v>155.09999999999982</v>
      </c>
      <c r="AI32" s="10">
        <f t="shared" si="11"/>
        <v>157.19999999999982</v>
      </c>
      <c r="AJ32" s="10">
        <f t="shared" si="11"/>
        <v>159.29999999999981</v>
      </c>
      <c r="AK32" s="10">
        <f t="shared" si="11"/>
        <v>161.39999999999981</v>
      </c>
      <c r="AL32" s="10">
        <f t="shared" si="11"/>
        <v>163.4999999999998</v>
      </c>
      <c r="AM32" s="10">
        <f t="shared" si="11"/>
        <v>165.5999999999998</v>
      </c>
      <c r="AN32" s="10">
        <f t="shared" si="11"/>
        <v>167.69999999999979</v>
      </c>
      <c r="AO32" s="10">
        <f t="shared" si="11"/>
        <v>169.79999999999978</v>
      </c>
      <c r="AP32" s="10">
        <f t="shared" si="11"/>
        <v>171.89999999999978</v>
      </c>
      <c r="AQ32" s="10">
        <f t="shared" si="11"/>
        <v>173.99999999999977</v>
      </c>
      <c r="AR32" s="10">
        <f t="shared" si="11"/>
        <v>176.09999999999977</v>
      </c>
      <c r="AS32" s="10">
        <f t="shared" si="11"/>
        <v>178.19999999999976</v>
      </c>
      <c r="AT32" s="10">
        <f t="shared" si="11"/>
        <v>180.29999999999976</v>
      </c>
      <c r="AU32" s="10">
        <f t="shared" si="11"/>
        <v>182.39999999999975</v>
      </c>
      <c r="AV32" s="10">
        <f t="shared" si="11"/>
        <v>184.49999999999974</v>
      </c>
      <c r="AW32" s="10">
        <f t="shared" si="11"/>
        <v>186.59999999999974</v>
      </c>
      <c r="AX32" s="10">
        <f t="shared" si="11"/>
        <v>188.69999999999973</v>
      </c>
      <c r="AY32" s="10">
        <f t="shared" si="11"/>
        <v>190.79999999999973</v>
      </c>
      <c r="AZ32" s="10">
        <f t="shared" si="11"/>
        <v>192.89999999999972</v>
      </c>
      <c r="BA32" s="10">
        <f t="shared" si="11"/>
        <v>194.99999999999972</v>
      </c>
      <c r="BB32" s="10">
        <f t="shared" si="11"/>
        <v>197.09999999999971</v>
      </c>
      <c r="BC32" s="10">
        <f t="shared" si="11"/>
        <v>199.1999999999997</v>
      </c>
      <c r="BD32" s="10">
        <f t="shared" si="11"/>
        <v>201.2999999999997</v>
      </c>
      <c r="BE32" s="10">
        <f t="shared" si="11"/>
        <v>203.39999999999969</v>
      </c>
      <c r="BF32" s="10">
        <f t="shared" si="11"/>
        <v>205.49999999999969</v>
      </c>
      <c r="BG32" s="10">
        <f t="shared" si="11"/>
        <v>207.59999999999968</v>
      </c>
      <c r="BH32" s="10">
        <f t="shared" si="11"/>
        <v>209.69999999999968</v>
      </c>
      <c r="BI32" s="10"/>
    </row>
    <row r="33" spans="1:61" s="76" customFormat="1" hidden="1" x14ac:dyDescent="0.2">
      <c r="A33" s="76" t="s">
        <v>12</v>
      </c>
      <c r="B33" s="123"/>
      <c r="C33" s="77">
        <f t="shared" ref="C33:BH33" si="12">C28*C32</f>
        <v>0</v>
      </c>
      <c r="D33" s="77">
        <f t="shared" si="12"/>
        <v>0</v>
      </c>
      <c r="E33" s="77">
        <f t="shared" si="12"/>
        <v>0</v>
      </c>
      <c r="F33" s="77">
        <f>F28*F32</f>
        <v>4056815.5078327609</v>
      </c>
      <c r="G33" s="77">
        <f t="shared" si="12"/>
        <v>8290563.7792470129</v>
      </c>
      <c r="H33" s="77">
        <f t="shared" si="12"/>
        <v>12701244.814242754</v>
      </c>
      <c r="I33" s="77">
        <f t="shared" si="12"/>
        <v>17288858.612819988</v>
      </c>
      <c r="J33" s="77">
        <f t="shared" si="12"/>
        <v>22053405.174978714</v>
      </c>
      <c r="K33" s="77">
        <f t="shared" si="12"/>
        <v>26994884.500718921</v>
      </c>
      <c r="L33" s="77">
        <f t="shared" si="12"/>
        <v>32113296.590040635</v>
      </c>
      <c r="M33" s="77">
        <f t="shared" si="12"/>
        <v>37408641.442943826</v>
      </c>
      <c r="N33" s="77">
        <f t="shared" si="12"/>
        <v>38116372.497269787</v>
      </c>
      <c r="O33" s="77">
        <f t="shared" si="12"/>
        <v>38824103.551595755</v>
      </c>
      <c r="P33" s="77">
        <f t="shared" si="12"/>
        <v>39531834.605921715</v>
      </c>
      <c r="Q33" s="77">
        <f t="shared" si="12"/>
        <v>40239565.660247676</v>
      </c>
      <c r="R33" s="77">
        <f t="shared" si="12"/>
        <v>40947296.714573644</v>
      </c>
      <c r="S33" s="77">
        <f t="shared" si="12"/>
        <v>41655027.768899605</v>
      </c>
      <c r="T33" s="77">
        <f t="shared" si="12"/>
        <v>42362758.823225565</v>
      </c>
      <c r="U33" s="77">
        <f t="shared" si="12"/>
        <v>43070489.877551526</v>
      </c>
      <c r="V33" s="77">
        <f t="shared" si="12"/>
        <v>43778220.931877494</v>
      </c>
      <c r="W33" s="77">
        <f t="shared" si="12"/>
        <v>44485951.986203454</v>
      </c>
      <c r="X33" s="77">
        <f t="shared" si="12"/>
        <v>45193683.040529415</v>
      </c>
      <c r="Y33" s="77">
        <f t="shared" si="12"/>
        <v>45901414.094855383</v>
      </c>
      <c r="Z33" s="77">
        <f t="shared" si="12"/>
        <v>46609145.149181344</v>
      </c>
      <c r="AA33" s="77">
        <f t="shared" si="12"/>
        <v>47316876.203507304</v>
      </c>
      <c r="AB33" s="77">
        <f t="shared" si="12"/>
        <v>48024607.257833272</v>
      </c>
      <c r="AC33" s="77">
        <f t="shared" si="12"/>
        <v>48732338.312159233</v>
      </c>
      <c r="AD33" s="77">
        <f t="shared" si="12"/>
        <v>49440069.366485193</v>
      </c>
      <c r="AE33" s="77">
        <f t="shared" si="12"/>
        <v>50147800.420811154</v>
      </c>
      <c r="AF33" s="77">
        <f t="shared" si="12"/>
        <v>50855531.475137122</v>
      </c>
      <c r="AG33" s="77">
        <f t="shared" si="12"/>
        <v>51563262.529463083</v>
      </c>
      <c r="AH33" s="77">
        <f t="shared" si="12"/>
        <v>52270993.583789043</v>
      </c>
      <c r="AI33" s="77">
        <f t="shared" si="12"/>
        <v>52978724.638115011</v>
      </c>
      <c r="AJ33" s="77">
        <f t="shared" si="12"/>
        <v>53686455.692440972</v>
      </c>
      <c r="AK33" s="77">
        <f t="shared" si="12"/>
        <v>54394186.746766932</v>
      </c>
      <c r="AL33" s="77">
        <f t="shared" si="12"/>
        <v>55101917.801092893</v>
      </c>
      <c r="AM33" s="77">
        <f t="shared" si="12"/>
        <v>55809648.855418861</v>
      </c>
      <c r="AN33" s="77">
        <f t="shared" si="12"/>
        <v>56517379.909744821</v>
      </c>
      <c r="AO33" s="77">
        <f t="shared" si="12"/>
        <v>57225110.964070782</v>
      </c>
      <c r="AP33" s="77">
        <f t="shared" si="12"/>
        <v>57932842.01839675</v>
      </c>
      <c r="AQ33" s="77">
        <f t="shared" si="12"/>
        <v>58640573.072722711</v>
      </c>
      <c r="AR33" s="77">
        <f t="shared" si="12"/>
        <v>59348304.127048671</v>
      </c>
      <c r="AS33" s="77">
        <f t="shared" si="12"/>
        <v>60056035.181374632</v>
      </c>
      <c r="AT33" s="77">
        <f t="shared" si="12"/>
        <v>60763766.2357006</v>
      </c>
      <c r="AU33" s="77">
        <f t="shared" si="12"/>
        <v>61471497.29002656</v>
      </c>
      <c r="AV33" s="77">
        <f t="shared" si="12"/>
        <v>62179228.344352521</v>
      </c>
      <c r="AW33" s="77">
        <f t="shared" si="12"/>
        <v>62886959.398678489</v>
      </c>
      <c r="AX33" s="77">
        <f t="shared" si="12"/>
        <v>63594690.45300445</v>
      </c>
      <c r="AY33" s="77">
        <f t="shared" si="12"/>
        <v>64302421.50733041</v>
      </c>
      <c r="AZ33" s="77">
        <f t="shared" si="12"/>
        <v>65010152.561656371</v>
      </c>
      <c r="BA33" s="77">
        <f t="shared" si="12"/>
        <v>65717883.615982339</v>
      </c>
      <c r="BB33" s="77">
        <f t="shared" si="12"/>
        <v>66425614.670308299</v>
      </c>
      <c r="BC33" s="77">
        <f t="shared" si="12"/>
        <v>67133345.72463426</v>
      </c>
      <c r="BD33" s="77">
        <f t="shared" si="12"/>
        <v>67841076.778960228</v>
      </c>
      <c r="BE33" s="77">
        <f t="shared" si="12"/>
        <v>68548807.833286181</v>
      </c>
      <c r="BF33" s="77">
        <f t="shared" si="12"/>
        <v>69256538.887612149</v>
      </c>
      <c r="BG33" s="77">
        <f t="shared" si="12"/>
        <v>69964269.941938117</v>
      </c>
      <c r="BH33" s="77">
        <f t="shared" si="12"/>
        <v>70672000.99626407</v>
      </c>
      <c r="BI33" s="77"/>
    </row>
    <row r="34" spans="1:61" x14ac:dyDescent="0.2">
      <c r="B34" s="3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</row>
    <row r="35" spans="1:61" x14ac:dyDescent="0.2">
      <c r="A35" t="s">
        <v>13</v>
      </c>
      <c r="B35" s="31"/>
      <c r="C35" s="94">
        <f t="shared" ref="C35:AL35" si="13" xml:space="preserve"> D36</f>
        <v>0</v>
      </c>
      <c r="D35" s="94">
        <f t="shared" si="13"/>
        <v>1</v>
      </c>
      <c r="E35" s="94">
        <f t="shared" si="13"/>
        <v>1</v>
      </c>
      <c r="F35" s="94">
        <f t="shared" si="13"/>
        <v>1</v>
      </c>
      <c r="G35" s="94">
        <f t="shared" si="13"/>
        <v>1</v>
      </c>
      <c r="H35" s="94">
        <f t="shared" si="13"/>
        <v>1</v>
      </c>
      <c r="I35" s="94">
        <f t="shared" si="13"/>
        <v>1</v>
      </c>
      <c r="J35" s="94">
        <f t="shared" si="13"/>
        <v>1</v>
      </c>
      <c r="K35" s="94">
        <f t="shared" si="13"/>
        <v>1</v>
      </c>
      <c r="L35" s="94">
        <f t="shared" si="13"/>
        <v>0</v>
      </c>
      <c r="M35" s="94">
        <f t="shared" si="13"/>
        <v>0</v>
      </c>
      <c r="N35" s="94">
        <f t="shared" si="13"/>
        <v>0</v>
      </c>
      <c r="O35" s="94">
        <f t="shared" si="13"/>
        <v>0</v>
      </c>
      <c r="P35" s="94">
        <f t="shared" si="13"/>
        <v>0</v>
      </c>
      <c r="Q35" s="94">
        <f t="shared" si="13"/>
        <v>0</v>
      </c>
      <c r="R35" s="94">
        <f t="shared" si="13"/>
        <v>0</v>
      </c>
      <c r="S35" s="94">
        <f t="shared" si="13"/>
        <v>0</v>
      </c>
      <c r="T35" s="94">
        <f t="shared" si="13"/>
        <v>0</v>
      </c>
      <c r="U35" s="94">
        <f t="shared" si="13"/>
        <v>0</v>
      </c>
      <c r="V35" s="94">
        <f t="shared" si="13"/>
        <v>0</v>
      </c>
      <c r="W35" s="94">
        <f t="shared" si="13"/>
        <v>0</v>
      </c>
      <c r="X35" s="94">
        <f t="shared" si="13"/>
        <v>0</v>
      </c>
      <c r="Y35" s="94">
        <f t="shared" si="13"/>
        <v>0</v>
      </c>
      <c r="Z35" s="94">
        <f t="shared" si="13"/>
        <v>0</v>
      </c>
      <c r="AA35" s="94">
        <f t="shared" si="13"/>
        <v>0</v>
      </c>
      <c r="AB35" s="94">
        <f t="shared" si="13"/>
        <v>0</v>
      </c>
      <c r="AC35" s="94">
        <f t="shared" si="13"/>
        <v>0</v>
      </c>
      <c r="AD35" s="94">
        <f t="shared" si="13"/>
        <v>0</v>
      </c>
      <c r="AE35" s="94">
        <f t="shared" si="13"/>
        <v>0</v>
      </c>
      <c r="AF35" s="94">
        <f t="shared" si="13"/>
        <v>0</v>
      </c>
      <c r="AG35" s="94">
        <f t="shared" si="13"/>
        <v>0</v>
      </c>
      <c r="AH35" s="94">
        <f t="shared" si="13"/>
        <v>0</v>
      </c>
      <c r="AI35" s="94">
        <f t="shared" si="13"/>
        <v>0</v>
      </c>
      <c r="AJ35" s="94">
        <f t="shared" si="13"/>
        <v>0</v>
      </c>
      <c r="AK35" s="94">
        <f t="shared" si="13"/>
        <v>0</v>
      </c>
      <c r="AL35" s="94">
        <f t="shared" si="13"/>
        <v>0</v>
      </c>
      <c r="AM35" s="94">
        <f t="shared" ref="AM35:BH35" si="14" xml:space="preserve"> BI36</f>
        <v>0</v>
      </c>
      <c r="AN35" s="94">
        <f t="shared" si="14"/>
        <v>0</v>
      </c>
      <c r="AO35" s="94">
        <f t="shared" si="14"/>
        <v>0</v>
      </c>
      <c r="AP35" s="94">
        <f t="shared" si="14"/>
        <v>0</v>
      </c>
      <c r="AQ35" s="94">
        <f t="shared" si="14"/>
        <v>0</v>
      </c>
      <c r="AR35" s="94">
        <f t="shared" si="14"/>
        <v>0</v>
      </c>
      <c r="AS35" s="94">
        <f t="shared" si="14"/>
        <v>0</v>
      </c>
      <c r="AT35" s="94">
        <f t="shared" si="14"/>
        <v>0</v>
      </c>
      <c r="AU35" s="94">
        <f t="shared" si="14"/>
        <v>0</v>
      </c>
      <c r="AV35" s="94">
        <f t="shared" si="14"/>
        <v>0</v>
      </c>
      <c r="AW35" s="94">
        <f t="shared" si="14"/>
        <v>0</v>
      </c>
      <c r="AX35" s="94">
        <f t="shared" si="14"/>
        <v>0</v>
      </c>
      <c r="AY35" s="94">
        <f t="shared" si="14"/>
        <v>0</v>
      </c>
      <c r="AZ35" s="94">
        <f t="shared" si="14"/>
        <v>0</v>
      </c>
      <c r="BA35" s="94">
        <f t="shared" si="14"/>
        <v>0</v>
      </c>
      <c r="BB35" s="94">
        <f t="shared" si="14"/>
        <v>0</v>
      </c>
      <c r="BC35" s="94">
        <f t="shared" si="14"/>
        <v>0</v>
      </c>
      <c r="BD35" s="94">
        <f t="shared" si="14"/>
        <v>0</v>
      </c>
      <c r="BE35" s="94">
        <f t="shared" si="14"/>
        <v>0</v>
      </c>
      <c r="BF35" s="94">
        <f t="shared" si="14"/>
        <v>0</v>
      </c>
      <c r="BG35" s="94">
        <f t="shared" si="14"/>
        <v>0</v>
      </c>
      <c r="BH35" s="94">
        <f t="shared" si="14"/>
        <v>0</v>
      </c>
    </row>
    <row r="36" spans="1:61" x14ac:dyDescent="0.2">
      <c r="A36" t="s">
        <v>14</v>
      </c>
      <c r="B36" s="31"/>
      <c r="C36" s="94">
        <f t="shared" ref="C36:AL36" si="15" xml:space="preserve"> D37-C37</f>
        <v>0</v>
      </c>
      <c r="D36" s="94">
        <f t="shared" si="15"/>
        <v>0</v>
      </c>
      <c r="E36" s="94">
        <f t="shared" si="15"/>
        <v>1</v>
      </c>
      <c r="F36" s="94">
        <f t="shared" si="15"/>
        <v>1</v>
      </c>
      <c r="G36" s="94">
        <f t="shared" si="15"/>
        <v>1</v>
      </c>
      <c r="H36" s="94">
        <f t="shared" si="15"/>
        <v>1</v>
      </c>
      <c r="I36" s="94">
        <f t="shared" si="15"/>
        <v>1</v>
      </c>
      <c r="J36" s="94">
        <f t="shared" si="15"/>
        <v>1</v>
      </c>
      <c r="K36" s="94">
        <f t="shared" si="15"/>
        <v>1</v>
      </c>
      <c r="L36" s="94">
        <f t="shared" si="15"/>
        <v>1</v>
      </c>
      <c r="M36" s="94">
        <f t="shared" si="15"/>
        <v>0</v>
      </c>
      <c r="N36" s="94">
        <f t="shared" si="15"/>
        <v>0</v>
      </c>
      <c r="O36" s="94">
        <f t="shared" si="15"/>
        <v>0</v>
      </c>
      <c r="P36" s="94">
        <f t="shared" si="15"/>
        <v>0</v>
      </c>
      <c r="Q36" s="94">
        <f t="shared" si="15"/>
        <v>0</v>
      </c>
      <c r="R36" s="94">
        <f t="shared" si="15"/>
        <v>0</v>
      </c>
      <c r="S36" s="94">
        <f t="shared" si="15"/>
        <v>0</v>
      </c>
      <c r="T36" s="94">
        <f t="shared" si="15"/>
        <v>0</v>
      </c>
      <c r="U36" s="94">
        <f t="shared" si="15"/>
        <v>0</v>
      </c>
      <c r="V36" s="94">
        <f t="shared" si="15"/>
        <v>0</v>
      </c>
      <c r="W36" s="94">
        <f t="shared" si="15"/>
        <v>0</v>
      </c>
      <c r="X36" s="94">
        <f t="shared" si="15"/>
        <v>0</v>
      </c>
      <c r="Y36" s="94">
        <f t="shared" si="15"/>
        <v>0</v>
      </c>
      <c r="Z36" s="94">
        <f t="shared" si="15"/>
        <v>0</v>
      </c>
      <c r="AA36" s="94">
        <f t="shared" si="15"/>
        <v>0</v>
      </c>
      <c r="AB36" s="94">
        <f t="shared" si="15"/>
        <v>0</v>
      </c>
      <c r="AC36" s="94">
        <f t="shared" si="15"/>
        <v>0</v>
      </c>
      <c r="AD36" s="94">
        <f t="shared" si="15"/>
        <v>0</v>
      </c>
      <c r="AE36" s="94">
        <f t="shared" si="15"/>
        <v>0</v>
      </c>
      <c r="AF36" s="94">
        <f t="shared" si="15"/>
        <v>0</v>
      </c>
      <c r="AG36" s="94">
        <f t="shared" si="15"/>
        <v>0</v>
      </c>
      <c r="AH36" s="94">
        <f t="shared" si="15"/>
        <v>0</v>
      </c>
      <c r="AI36" s="94">
        <f t="shared" si="15"/>
        <v>0</v>
      </c>
      <c r="AJ36" s="94">
        <f t="shared" si="15"/>
        <v>0</v>
      </c>
      <c r="AK36" s="94">
        <f t="shared" si="15"/>
        <v>0</v>
      </c>
      <c r="AL36" s="94">
        <f t="shared" si="15"/>
        <v>0</v>
      </c>
      <c r="AM36" s="94">
        <v>0</v>
      </c>
      <c r="AN36" s="94">
        <v>0</v>
      </c>
      <c r="AO36" s="94">
        <v>0</v>
      </c>
      <c r="AP36" s="94">
        <v>0</v>
      </c>
      <c r="AQ36" s="94">
        <v>0</v>
      </c>
      <c r="AR36" s="94">
        <v>0</v>
      </c>
      <c r="AS36" s="94">
        <v>0</v>
      </c>
      <c r="AT36" s="94">
        <v>0</v>
      </c>
      <c r="AU36" s="94">
        <v>0</v>
      </c>
      <c r="AV36" s="94">
        <v>0</v>
      </c>
      <c r="AW36" s="94">
        <v>0</v>
      </c>
      <c r="AX36" s="94">
        <v>0</v>
      </c>
      <c r="AY36" s="94">
        <v>0</v>
      </c>
      <c r="AZ36" s="94">
        <v>0</v>
      </c>
      <c r="BA36" s="94"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94">
        <v>0</v>
      </c>
      <c r="BH36" s="94">
        <v>0</v>
      </c>
    </row>
    <row r="37" spans="1:61" x14ac:dyDescent="0.2">
      <c r="A37" t="s">
        <v>15</v>
      </c>
      <c r="B37" s="31"/>
      <c r="C37">
        <v>0</v>
      </c>
      <c r="D37">
        <v>0</v>
      </c>
      <c r="E37">
        <v>0</v>
      </c>
      <c r="F37">
        <v>1</v>
      </c>
      <c r="G37">
        <v>2</v>
      </c>
      <c r="H37">
        <v>3</v>
      </c>
      <c r="I37">
        <v>4</v>
      </c>
      <c r="J37">
        <v>5</v>
      </c>
      <c r="K37">
        <v>6</v>
      </c>
      <c r="L37">
        <v>7</v>
      </c>
      <c r="M37">
        <v>8</v>
      </c>
      <c r="N37">
        <v>8</v>
      </c>
      <c r="O37">
        <v>8</v>
      </c>
      <c r="P37">
        <v>8</v>
      </c>
      <c r="Q37">
        <v>8</v>
      </c>
      <c r="R37">
        <v>8</v>
      </c>
      <c r="S37">
        <v>8</v>
      </c>
      <c r="T37">
        <v>8</v>
      </c>
      <c r="U37">
        <v>8</v>
      </c>
      <c r="V37">
        <v>8</v>
      </c>
      <c r="W37">
        <v>8</v>
      </c>
      <c r="X37">
        <v>8</v>
      </c>
      <c r="Y37">
        <v>8</v>
      </c>
      <c r="Z37">
        <v>8</v>
      </c>
      <c r="AA37">
        <v>8</v>
      </c>
      <c r="AB37">
        <v>8</v>
      </c>
      <c r="AC37">
        <v>8</v>
      </c>
      <c r="AD37">
        <v>8</v>
      </c>
      <c r="AE37">
        <v>8</v>
      </c>
      <c r="AF37">
        <v>8</v>
      </c>
      <c r="AG37">
        <v>8</v>
      </c>
      <c r="AH37">
        <v>8</v>
      </c>
      <c r="AI37">
        <v>8</v>
      </c>
      <c r="AJ37">
        <v>8</v>
      </c>
      <c r="AK37">
        <v>8</v>
      </c>
      <c r="AL37">
        <v>8</v>
      </c>
      <c r="AM37">
        <v>8</v>
      </c>
      <c r="AN37">
        <v>8</v>
      </c>
      <c r="AO37">
        <v>8</v>
      </c>
      <c r="AP37">
        <v>8</v>
      </c>
      <c r="AQ37">
        <v>8</v>
      </c>
      <c r="AR37">
        <v>8</v>
      </c>
      <c r="AS37">
        <v>8</v>
      </c>
      <c r="AT37">
        <v>8</v>
      </c>
      <c r="AU37">
        <v>8</v>
      </c>
      <c r="AV37">
        <v>8</v>
      </c>
      <c r="AW37">
        <v>8</v>
      </c>
      <c r="AX37">
        <v>8</v>
      </c>
      <c r="AY37">
        <v>8</v>
      </c>
      <c r="AZ37">
        <v>8</v>
      </c>
      <c r="BA37">
        <v>8</v>
      </c>
      <c r="BB37">
        <v>8</v>
      </c>
      <c r="BC37">
        <v>8</v>
      </c>
      <c r="BD37">
        <v>8</v>
      </c>
      <c r="BE37">
        <v>8</v>
      </c>
      <c r="BF37">
        <v>8</v>
      </c>
      <c r="BG37">
        <v>8</v>
      </c>
      <c r="BH37">
        <v>8</v>
      </c>
    </row>
    <row r="38" spans="1:61" x14ac:dyDescent="0.2">
      <c r="A38" t="s">
        <v>16</v>
      </c>
      <c r="B38" s="31"/>
      <c r="C38" s="5">
        <f>C37*'Levellized Salt Refinery Plant '!$C$53</f>
        <v>0</v>
      </c>
      <c r="D38" s="5">
        <f>D37*'Levellized Salt Refinery Plant '!$C$53</f>
        <v>0</v>
      </c>
      <c r="E38" s="5">
        <f>E37*'Levellized Salt Refinery Plant '!$C$53</f>
        <v>0</v>
      </c>
      <c r="F38" s="5">
        <f>F37*'Levellized Salt Refinery Plant '!$C$53</f>
        <v>86687.5</v>
      </c>
      <c r="G38" s="5">
        <f>G37*'Levellized Salt Refinery Plant '!$C$53</f>
        <v>173375</v>
      </c>
      <c r="H38" s="5">
        <f>H37*'Levellized Salt Refinery Plant '!$C$53</f>
        <v>260062.5</v>
      </c>
      <c r="I38" s="5">
        <f>I37*'Levellized Salt Refinery Plant '!$C$53</f>
        <v>346750</v>
      </c>
      <c r="J38" s="5">
        <f>J37*'Levellized Salt Refinery Plant '!$C$53</f>
        <v>433437.5</v>
      </c>
      <c r="K38" s="5">
        <f>K37*'Levellized Salt Refinery Plant '!$C$53</f>
        <v>520125</v>
      </c>
      <c r="L38" s="5">
        <f>L37*'Levellized Salt Refinery Plant '!$C$53</f>
        <v>606812.5</v>
      </c>
      <c r="M38" s="5">
        <f>M37*'Levellized Salt Refinery Plant '!$C$53</f>
        <v>693500</v>
      </c>
      <c r="N38" s="5">
        <f>N37*'Levellized Salt Refinery Plant '!$C$53</f>
        <v>693500</v>
      </c>
      <c r="O38" s="5">
        <f>O37*'Levellized Salt Refinery Plant '!$C$53</f>
        <v>693500</v>
      </c>
      <c r="P38" s="5">
        <f>P37*'Levellized Salt Refinery Plant '!$C$53</f>
        <v>693500</v>
      </c>
      <c r="Q38" s="5">
        <f>Q37*'Levellized Salt Refinery Plant '!$C$53</f>
        <v>693500</v>
      </c>
      <c r="R38" s="5">
        <f>R37*'Levellized Salt Refinery Plant '!$C$53</f>
        <v>693500</v>
      </c>
      <c r="S38" s="5">
        <f>S37*'Levellized Salt Refinery Plant '!$C$53</f>
        <v>693500</v>
      </c>
      <c r="T38" s="5">
        <f>T37*'Levellized Salt Refinery Plant '!$C$53</f>
        <v>693500</v>
      </c>
      <c r="U38" s="5">
        <f>U37*'Levellized Salt Refinery Plant '!$C$53</f>
        <v>693500</v>
      </c>
      <c r="V38" s="5">
        <f>V37*'Levellized Salt Refinery Plant '!$C$53</f>
        <v>693500</v>
      </c>
      <c r="W38" s="5">
        <f>W37*'Levellized Salt Refinery Plant '!$C$53</f>
        <v>693500</v>
      </c>
      <c r="X38" s="5">
        <f>X37*'Levellized Salt Refinery Plant '!$C$53</f>
        <v>693500</v>
      </c>
      <c r="Y38" s="5">
        <f>Y37*'Levellized Salt Refinery Plant '!$C$53</f>
        <v>693500</v>
      </c>
      <c r="Z38" s="5">
        <f>Z37*'Levellized Salt Refinery Plant '!$C$53</f>
        <v>693500</v>
      </c>
      <c r="AA38" s="5">
        <f>AA37*'Levellized Salt Refinery Plant '!$C$53</f>
        <v>693500</v>
      </c>
      <c r="AB38" s="5">
        <f>AB37*'Levellized Salt Refinery Plant '!$C$53</f>
        <v>693500</v>
      </c>
      <c r="AC38" s="5">
        <f>AC37*'Levellized Salt Refinery Plant '!$C$53</f>
        <v>693500</v>
      </c>
      <c r="AD38" s="5">
        <f>AD37*'Levellized Salt Refinery Plant '!$C$53</f>
        <v>693500</v>
      </c>
      <c r="AE38" s="5">
        <f>AE37*'Levellized Salt Refinery Plant '!$C$53</f>
        <v>693500</v>
      </c>
      <c r="AF38" s="5">
        <f>AF37*'Levellized Salt Refinery Plant '!$C$53</f>
        <v>693500</v>
      </c>
      <c r="AG38" s="5">
        <f>AG37*'Levellized Salt Refinery Plant '!$C$53</f>
        <v>693500</v>
      </c>
      <c r="AH38" s="5">
        <f>AH37*'Levellized Salt Refinery Plant '!$C$53</f>
        <v>693500</v>
      </c>
      <c r="AI38" s="5">
        <f>AI37*'Levellized Salt Refinery Plant '!$C$53</f>
        <v>693500</v>
      </c>
      <c r="AJ38" s="5">
        <f>AJ37*'Levellized Salt Refinery Plant '!$C$53</f>
        <v>693500</v>
      </c>
      <c r="AK38" s="5">
        <f>AK37*'Levellized Salt Refinery Plant '!$C$53</f>
        <v>693500</v>
      </c>
      <c r="AL38" s="5">
        <f>AL37*'Levellized Salt Refinery Plant '!$C$53</f>
        <v>693500</v>
      </c>
      <c r="AM38" s="5">
        <f>AM37*'Levellized Salt Refinery Plant '!$C$53</f>
        <v>693500</v>
      </c>
      <c r="AN38" s="5">
        <f>AN37*'Levellized Salt Refinery Plant '!$C$53</f>
        <v>693500</v>
      </c>
      <c r="AO38" s="5">
        <f>AO37*'Levellized Salt Refinery Plant '!$C$53</f>
        <v>693500</v>
      </c>
      <c r="AP38" s="5">
        <f>AP37*'Levellized Salt Refinery Plant '!$C$53</f>
        <v>693500</v>
      </c>
      <c r="AQ38" s="5">
        <f>AQ37*'Levellized Salt Refinery Plant '!$C$53</f>
        <v>693500</v>
      </c>
      <c r="AR38" s="5">
        <f>AR37*'Levellized Salt Refinery Plant '!$C$53</f>
        <v>693500</v>
      </c>
      <c r="AS38" s="5">
        <f>AS37*'Levellized Salt Refinery Plant '!$C$53</f>
        <v>693500</v>
      </c>
      <c r="AT38" s="5">
        <f>AT37*'Levellized Salt Refinery Plant '!$C$53</f>
        <v>693500</v>
      </c>
      <c r="AU38" s="5">
        <f>AU37*'Levellized Salt Refinery Plant '!$C$53</f>
        <v>693500</v>
      </c>
      <c r="AV38" s="5">
        <f>AV37*'Levellized Salt Refinery Plant '!$C$53</f>
        <v>693500</v>
      </c>
      <c r="AW38" s="5">
        <f>AW37*'Levellized Salt Refinery Plant '!$C$53</f>
        <v>693500</v>
      </c>
      <c r="AX38" s="5">
        <f>AX37*'Levellized Salt Refinery Plant '!$C$53</f>
        <v>693500</v>
      </c>
      <c r="AY38" s="5">
        <f>AY37*'Levellized Salt Refinery Plant '!$C$53</f>
        <v>693500</v>
      </c>
      <c r="AZ38" s="5">
        <f>AZ37*'Levellized Salt Refinery Plant '!$C$53</f>
        <v>693500</v>
      </c>
      <c r="BA38" s="5">
        <f>BA37*'Levellized Salt Refinery Plant '!$C$53</f>
        <v>693500</v>
      </c>
      <c r="BB38" s="5">
        <f>BB37*'Levellized Salt Refinery Plant '!$C$53</f>
        <v>693500</v>
      </c>
      <c r="BC38" s="5">
        <f>BC37*'Levellized Salt Refinery Plant '!$C$53</f>
        <v>693500</v>
      </c>
      <c r="BD38" s="5">
        <f>BD37*'Levellized Salt Refinery Plant '!$C$53</f>
        <v>693500</v>
      </c>
      <c r="BE38" s="5">
        <f>BE37*'Levellized Salt Refinery Plant '!$C$53</f>
        <v>693500</v>
      </c>
      <c r="BF38" s="5">
        <f>BF37*'Levellized Salt Refinery Plant '!$C$53</f>
        <v>693500</v>
      </c>
      <c r="BG38" s="5">
        <f>BG37*'Levellized Salt Refinery Plant '!$C$53</f>
        <v>693500</v>
      </c>
      <c r="BH38" s="5">
        <f>BH37*'Levellized Salt Refinery Plant '!$C$53</f>
        <v>693500</v>
      </c>
      <c r="BI38" s="5"/>
    </row>
    <row r="39" spans="1:61" s="74" customFormat="1" hidden="1" x14ac:dyDescent="0.2">
      <c r="A39" s="74" t="s">
        <v>17</v>
      </c>
      <c r="B39" s="121"/>
      <c r="C39" s="75">
        <f>IF(C36&gt;0,C36*'Levellized Salt Refinery Plant '!$C$2,0)</f>
        <v>0</v>
      </c>
      <c r="D39" s="75">
        <f>IF(D36&gt;0,D36*'Levellized Salt Refinery Plant '!$C$2,0)</f>
        <v>0</v>
      </c>
      <c r="E39" s="75">
        <f>IF(E36&gt;0,E36*'Levellized Salt Refinery Plant '!$C$2,0)</f>
        <v>2185910</v>
      </c>
      <c r="F39" s="75">
        <f>IF(F36&gt;0,F36*'Levellized Salt Refinery Plant '!$C$2,0)</f>
        <v>2185910</v>
      </c>
      <c r="G39" s="75">
        <f>IF(G36&gt;0,G36*'Levellized Salt Refinery Plant '!$C$2,0)</f>
        <v>2185910</v>
      </c>
      <c r="H39" s="75">
        <f>IF(H36&gt;0,H36*'Levellized Salt Refinery Plant '!$C$2,0)</f>
        <v>2185910</v>
      </c>
      <c r="I39" s="75">
        <f>IF(I36&gt;0,I36*'Levellized Salt Refinery Plant '!$C$2,0)</f>
        <v>2185910</v>
      </c>
      <c r="J39" s="75">
        <f>IF(J36&gt;0,J36*'Levellized Salt Refinery Plant '!$C$2,0)</f>
        <v>2185910</v>
      </c>
      <c r="K39" s="75">
        <f>IF(K36&gt;0,K36*'Levellized Salt Refinery Plant '!$C$2,0)</f>
        <v>2185910</v>
      </c>
      <c r="L39" s="75">
        <f>IF(L36&gt;0,L36*'Levellized Salt Refinery Plant '!$C$2,0)</f>
        <v>2185910</v>
      </c>
      <c r="M39" s="75">
        <f>IF(M36&gt;0,M36*'Levellized Salt Refinery Plant '!$C$2,0)</f>
        <v>0</v>
      </c>
      <c r="N39" s="75">
        <f>IF(N36&gt;0,N36*'Levellized Salt Refinery Plant '!$C$2,0)</f>
        <v>0</v>
      </c>
      <c r="O39" s="75">
        <f>IF(O36&gt;0,O36*'Levellized Salt Refinery Plant '!$C$2,0)</f>
        <v>0</v>
      </c>
      <c r="P39" s="75">
        <f>IF(P36&gt;0,P36*'Levellized Salt Refinery Plant '!$C$2,0)</f>
        <v>0</v>
      </c>
      <c r="Q39" s="75">
        <f>IF(Q36&gt;0,Q36*'Levellized Salt Refinery Plant '!$C$2,0)</f>
        <v>0</v>
      </c>
      <c r="R39" s="75">
        <f>IF(R36&gt;0,R36*'Levellized Salt Refinery Plant '!$C$2,0)</f>
        <v>0</v>
      </c>
      <c r="S39" s="75">
        <f>IF(S36&gt;0,S36*'Levellized Salt Refinery Plant '!$C$2,0)</f>
        <v>0</v>
      </c>
      <c r="T39" s="75">
        <f>IF(T36&gt;0,T36*'Levellized Salt Refinery Plant '!$C$2,0)</f>
        <v>0</v>
      </c>
      <c r="U39" s="75">
        <f>IF(U36&gt;0,U36*'Levellized Salt Refinery Plant '!$C$2,0)</f>
        <v>0</v>
      </c>
      <c r="V39" s="75">
        <f>IF(V36&gt;0,V36*'Levellized Salt Refinery Plant '!$C$2,0)</f>
        <v>0</v>
      </c>
      <c r="W39" s="75">
        <f>IF(W36&gt;0,W36*'Levellized Salt Refinery Plant '!$C$2,0)</f>
        <v>0</v>
      </c>
      <c r="X39" s="75">
        <f>IF(X36&gt;0,X36*'Levellized Salt Refinery Plant '!$C$2,0)</f>
        <v>0</v>
      </c>
      <c r="Y39" s="75">
        <f>IF(Y36&gt;0,Y36*'Levellized Salt Refinery Plant '!$C$2,0)</f>
        <v>0</v>
      </c>
      <c r="Z39" s="75">
        <f>IF(Z36&gt;0,Z36*'Levellized Salt Refinery Plant '!$C$2,0)</f>
        <v>0</v>
      </c>
      <c r="AA39" s="75">
        <f>IF(AA36&gt;0,AA36*'Levellized Salt Refinery Plant '!$C$2,0)</f>
        <v>0</v>
      </c>
      <c r="AB39" s="75">
        <f>IF(AB36&gt;0,AB36*'Levellized Salt Refinery Plant '!$C$2,0)</f>
        <v>0</v>
      </c>
      <c r="AC39" s="75">
        <f>IF(AC36&gt;0,AC36*'Levellized Salt Refinery Plant '!$C$2,0)</f>
        <v>0</v>
      </c>
      <c r="AD39" s="75">
        <f>IF(AD36&gt;0,AD36*'Levellized Salt Refinery Plant '!$C$2,0)</f>
        <v>0</v>
      </c>
      <c r="AE39" s="75">
        <f>IF(AE36&gt;0,AE36*'Levellized Salt Refinery Plant '!$C$2,0)</f>
        <v>0</v>
      </c>
      <c r="AF39" s="75">
        <f>IF(AF36&gt;0,AF36*'Levellized Salt Refinery Plant '!$C$2,0)</f>
        <v>0</v>
      </c>
      <c r="AG39" s="75">
        <f>IF(AG36&gt;0,AG36*'Levellized Salt Refinery Plant '!$C$2,0)</f>
        <v>0</v>
      </c>
      <c r="AH39" s="75">
        <f>IF(AH36&gt;0,AH36*'Levellized Salt Refinery Plant '!$C$2,0)</f>
        <v>0</v>
      </c>
      <c r="AI39" s="75">
        <f>IF(AI36&gt;0,AI36*'Levellized Salt Refinery Plant '!$C$2,0)</f>
        <v>0</v>
      </c>
      <c r="AJ39" s="75">
        <f>IF(AJ36&gt;0,AJ36*'Levellized Salt Refinery Plant '!$C$2,0)</f>
        <v>0</v>
      </c>
      <c r="AK39" s="75">
        <f>IF(AK36&gt;0,AK36*'Levellized Salt Refinery Plant '!$C$2,0)</f>
        <v>0</v>
      </c>
      <c r="AL39" s="75">
        <f>IF(AL36&gt;0,AL36*'Levellized Salt Refinery Plant '!$C$2,0)</f>
        <v>0</v>
      </c>
      <c r="AM39" s="75">
        <f>IF(AM36&gt;0,AM36*'Levellized Salt Refinery Plant '!$C$2,0)</f>
        <v>0</v>
      </c>
      <c r="AN39" s="75">
        <f>IF(AN36&gt;0,AN36*'Levellized Salt Refinery Plant '!$C$2,0)</f>
        <v>0</v>
      </c>
      <c r="AO39" s="75">
        <f>IF(AO36&gt;0,AO36*'Levellized Salt Refinery Plant '!$C$2,0)</f>
        <v>0</v>
      </c>
      <c r="AP39" s="75">
        <f>IF(AP36&gt;0,AP36*'Levellized Salt Refinery Plant '!$C$2,0)</f>
        <v>0</v>
      </c>
      <c r="AQ39" s="75">
        <f>IF(AQ36&gt;0,AQ36*'Levellized Salt Refinery Plant '!$C$2,0)</f>
        <v>0</v>
      </c>
      <c r="AR39" s="75">
        <f>IF(AR36&gt;0,AR36*'Levellized Salt Refinery Plant '!$C$2,0)</f>
        <v>0</v>
      </c>
      <c r="AS39" s="75">
        <f>IF(AS36&gt;0,AS36*'Levellized Salt Refinery Plant '!$C$2,0)</f>
        <v>0</v>
      </c>
      <c r="AT39" s="75">
        <f>IF(AT36&gt;0,AT36*'Levellized Salt Refinery Plant '!$C$2,0)</f>
        <v>0</v>
      </c>
      <c r="AU39" s="75">
        <f>IF(AU36&gt;0,AU36*'Levellized Salt Refinery Plant '!$C$2,0)</f>
        <v>0</v>
      </c>
      <c r="AV39" s="75">
        <f>IF(AV36&gt;0,AV36*'Levellized Salt Refinery Plant '!$C$2,0)</f>
        <v>0</v>
      </c>
      <c r="AW39" s="75">
        <f>IF(AW36&gt;0,AW36*'Levellized Salt Refinery Plant '!$C$2,0)</f>
        <v>0</v>
      </c>
      <c r="AX39" s="75">
        <f>IF(AX36&gt;0,AX36*'Levellized Salt Refinery Plant '!$C$2,0)</f>
        <v>0</v>
      </c>
      <c r="AY39" s="75">
        <f>IF(AY36&gt;0,AY36*'Levellized Salt Refinery Plant '!$C$2,0)</f>
        <v>0</v>
      </c>
      <c r="AZ39" s="75">
        <f>IF(AZ36&gt;0,AZ36*'Levellized Salt Refinery Plant '!$C$2,0)</f>
        <v>0</v>
      </c>
      <c r="BA39" s="75">
        <f>IF(BA36&gt;0,BA36*'Levellized Salt Refinery Plant '!$C$2,0)</f>
        <v>0</v>
      </c>
      <c r="BB39" s="75">
        <f>IF(BB36&gt;0,BB36*'Levellized Salt Refinery Plant '!$C$2,0)</f>
        <v>0</v>
      </c>
      <c r="BC39" s="75">
        <f>IF(BC36&gt;0,BC36*'Levellized Salt Refinery Plant '!$C$2,0)</f>
        <v>0</v>
      </c>
      <c r="BD39" s="75">
        <f>IF(BD36&gt;0,BD36*'Levellized Salt Refinery Plant '!$C$2,0)</f>
        <v>0</v>
      </c>
      <c r="BE39" s="75">
        <f>IF(BE36&gt;0,BE36*'Levellized Salt Refinery Plant '!$C$2,0)</f>
        <v>0</v>
      </c>
      <c r="BF39" s="75">
        <f>IF(BF36&gt;0,BF36*'Levellized Salt Refinery Plant '!$C$2,0)</f>
        <v>0</v>
      </c>
      <c r="BG39" s="75">
        <f>IF(BG36&gt;0,BG36*'Levellized Salt Refinery Plant '!$C$2,0)</f>
        <v>0</v>
      </c>
      <c r="BH39" s="75">
        <f>IF(BH36&gt;0,BH36*'Levellized Salt Refinery Plant '!$C$2,0)</f>
        <v>0</v>
      </c>
      <c r="BI39" s="75"/>
    </row>
    <row r="40" spans="1:61" s="74" customFormat="1" hidden="1" x14ac:dyDescent="0.2">
      <c r="A40" s="74" t="s">
        <v>18</v>
      </c>
      <c r="B40" s="121"/>
      <c r="C40" s="75">
        <f>C37*'Levellized Salt Refinery Plant '!$C$35</f>
        <v>0</v>
      </c>
      <c r="D40" s="75">
        <f>D37*'Levellized Salt Refinery Plant '!$C$35</f>
        <v>0</v>
      </c>
      <c r="E40" s="75">
        <f>E37*'Levellized Salt Refinery Plant '!$C$35</f>
        <v>0</v>
      </c>
      <c r="F40" s="75">
        <f>F37*'Levellized Salt Refinery Plant '!$C$35</f>
        <v>3604613.0585757503</v>
      </c>
      <c r="G40" s="75">
        <f>G37*'Levellized Salt Refinery Plant '!$C$35</f>
        <v>7209226.1171515007</v>
      </c>
      <c r="H40" s="75">
        <f>H37*'Levellized Salt Refinery Plant '!$C$35</f>
        <v>10813839.175727252</v>
      </c>
      <c r="I40" s="75">
        <f>I37*'Levellized Salt Refinery Plant '!$C$35</f>
        <v>14418452.234303001</v>
      </c>
      <c r="J40" s="75">
        <f>J37*'Levellized Salt Refinery Plant '!$C$35</f>
        <v>18023065.292878751</v>
      </c>
      <c r="K40" s="75">
        <f>K37*'Levellized Salt Refinery Plant '!$C$35</f>
        <v>21627678.351454504</v>
      </c>
      <c r="L40" s="75">
        <f>L37*'Levellized Salt Refinery Plant '!$C$35</f>
        <v>25232291.410030253</v>
      </c>
      <c r="M40" s="75">
        <f>M37*'Levellized Salt Refinery Plant '!$C$35</f>
        <v>28836904.468606003</v>
      </c>
      <c r="N40" s="75">
        <f>N37*'Levellized Salt Refinery Plant '!$C$35</f>
        <v>28836904.468606003</v>
      </c>
      <c r="O40" s="75">
        <f>O37*'Levellized Salt Refinery Plant '!$C$35</f>
        <v>28836904.468606003</v>
      </c>
      <c r="P40" s="75">
        <f>P37*'Levellized Salt Refinery Plant '!$C$35</f>
        <v>28836904.468606003</v>
      </c>
      <c r="Q40" s="75">
        <f>Q37*'Levellized Salt Refinery Plant '!$C$35</f>
        <v>28836904.468606003</v>
      </c>
      <c r="R40" s="75">
        <f>R37*'Levellized Salt Refinery Plant '!$C$35</f>
        <v>28836904.468606003</v>
      </c>
      <c r="S40" s="75">
        <f>S37*'Levellized Salt Refinery Plant '!$C$35</f>
        <v>28836904.468606003</v>
      </c>
      <c r="T40" s="75">
        <f>T37*'Levellized Salt Refinery Plant '!$C$35</f>
        <v>28836904.468606003</v>
      </c>
      <c r="U40" s="75">
        <f>U37*'Levellized Salt Refinery Plant '!$C$35</f>
        <v>28836904.468606003</v>
      </c>
      <c r="V40" s="75">
        <f>V37*'Levellized Salt Refinery Plant '!$C$35</f>
        <v>28836904.468606003</v>
      </c>
      <c r="W40" s="75">
        <f>W37*'Levellized Salt Refinery Plant '!$C$35</f>
        <v>28836904.468606003</v>
      </c>
      <c r="X40" s="75">
        <f>X37*'Levellized Salt Refinery Plant '!$C$35</f>
        <v>28836904.468606003</v>
      </c>
      <c r="Y40" s="75">
        <f>Y37*'Levellized Salt Refinery Plant '!$C$35</f>
        <v>28836904.468606003</v>
      </c>
      <c r="Z40" s="75">
        <f>Z37*'Levellized Salt Refinery Plant '!$C$35</f>
        <v>28836904.468606003</v>
      </c>
      <c r="AA40" s="75">
        <f>AA37*'Levellized Salt Refinery Plant '!$C$35</f>
        <v>28836904.468606003</v>
      </c>
      <c r="AB40" s="75">
        <f>AB37*'Levellized Salt Refinery Plant '!$C$35</f>
        <v>28836904.468606003</v>
      </c>
      <c r="AC40" s="75">
        <f>AC37*'Levellized Salt Refinery Plant '!$C$35</f>
        <v>28836904.468606003</v>
      </c>
      <c r="AD40" s="75">
        <f>AD37*'Levellized Salt Refinery Plant '!$C$35</f>
        <v>28836904.468606003</v>
      </c>
      <c r="AE40" s="75">
        <f>AE37*'Levellized Salt Refinery Plant '!$C$35</f>
        <v>28836904.468606003</v>
      </c>
      <c r="AF40" s="75">
        <f>AF37*'Levellized Salt Refinery Plant '!$C$35</f>
        <v>28836904.468606003</v>
      </c>
      <c r="AG40" s="75">
        <f>AG37*'Levellized Salt Refinery Plant '!$C$35</f>
        <v>28836904.468606003</v>
      </c>
      <c r="AH40" s="75">
        <f>AH37*'Levellized Salt Refinery Plant '!$C$35</f>
        <v>28836904.468606003</v>
      </c>
      <c r="AI40" s="75">
        <f>AI37*'Levellized Salt Refinery Plant '!$C$35</f>
        <v>28836904.468606003</v>
      </c>
      <c r="AJ40" s="75">
        <f>AJ37*'Levellized Salt Refinery Plant '!$C$35</f>
        <v>28836904.468606003</v>
      </c>
      <c r="AK40" s="75">
        <f>AK37*'Levellized Salt Refinery Plant '!$C$35</f>
        <v>28836904.468606003</v>
      </c>
      <c r="AL40" s="75">
        <f>AL37*'Levellized Salt Refinery Plant '!$C$35</f>
        <v>28836904.468606003</v>
      </c>
      <c r="AM40" s="75">
        <f>AM37*'Levellized Salt Refinery Plant '!$C$35</f>
        <v>28836904.468606003</v>
      </c>
      <c r="AN40" s="75">
        <f>AN37*'Levellized Salt Refinery Plant '!$C$35</f>
        <v>28836904.468606003</v>
      </c>
      <c r="AO40" s="75">
        <f>AO37*'Levellized Salt Refinery Plant '!$C$35</f>
        <v>28836904.468606003</v>
      </c>
      <c r="AP40" s="75">
        <f>AP37*'Levellized Salt Refinery Plant '!$C$35</f>
        <v>28836904.468606003</v>
      </c>
      <c r="AQ40" s="75">
        <f>AQ37*'Levellized Salt Refinery Plant '!$C$35</f>
        <v>28836904.468606003</v>
      </c>
      <c r="AR40" s="75">
        <f>AR37*'Levellized Salt Refinery Plant '!$C$35</f>
        <v>28836904.468606003</v>
      </c>
      <c r="AS40" s="75">
        <f>AS37*'Levellized Salt Refinery Plant '!$C$35</f>
        <v>28836904.468606003</v>
      </c>
      <c r="AT40" s="75">
        <f>AT37*'Levellized Salt Refinery Plant '!$C$35</f>
        <v>28836904.468606003</v>
      </c>
      <c r="AU40" s="75">
        <f>AU37*'Levellized Salt Refinery Plant '!$C$35</f>
        <v>28836904.468606003</v>
      </c>
      <c r="AV40" s="75">
        <f>AV37*'Levellized Salt Refinery Plant '!$C$35</f>
        <v>28836904.468606003</v>
      </c>
      <c r="AW40" s="75">
        <f>AW37*'Levellized Salt Refinery Plant '!$C$35</f>
        <v>28836904.468606003</v>
      </c>
      <c r="AX40" s="75">
        <f>AX37*'Levellized Salt Refinery Plant '!$C$35</f>
        <v>28836904.468606003</v>
      </c>
      <c r="AY40" s="75">
        <f>AY37*'Levellized Salt Refinery Plant '!$C$35</f>
        <v>28836904.468606003</v>
      </c>
      <c r="AZ40" s="75">
        <f>AZ37*'Levellized Salt Refinery Plant '!$C$35</f>
        <v>28836904.468606003</v>
      </c>
      <c r="BA40" s="75">
        <f>BA37*'Levellized Salt Refinery Plant '!$C$35</f>
        <v>28836904.468606003</v>
      </c>
      <c r="BB40" s="75">
        <f>BB37*'Levellized Salt Refinery Plant '!$C$35</f>
        <v>28836904.468606003</v>
      </c>
      <c r="BC40" s="75">
        <f>BC37*'Levellized Salt Refinery Plant '!$C$35</f>
        <v>28836904.468606003</v>
      </c>
      <c r="BD40" s="75">
        <f>BD37*'Levellized Salt Refinery Plant '!$C$35</f>
        <v>28836904.468606003</v>
      </c>
      <c r="BE40" s="75">
        <f>BE37*'Levellized Salt Refinery Plant '!$C$35</f>
        <v>28836904.468606003</v>
      </c>
      <c r="BF40" s="75">
        <f>BF37*'Levellized Salt Refinery Plant '!$C$35</f>
        <v>28836904.468606003</v>
      </c>
      <c r="BG40" s="75">
        <f>BG37*'Levellized Salt Refinery Plant '!$C$35</f>
        <v>28836904.468606003</v>
      </c>
      <c r="BH40" s="75">
        <f>BH37*'Levellized Salt Refinery Plant '!$C$35</f>
        <v>28836904.468606003</v>
      </c>
      <c r="BI40" s="75"/>
    </row>
    <row r="41" spans="1:61" s="74" customFormat="1" hidden="1" x14ac:dyDescent="0.2">
      <c r="A41" s="74" t="s">
        <v>504</v>
      </c>
      <c r="B41" s="121"/>
      <c r="C41" s="75">
        <f>C37*'Levellized Salt Refinery Plant '!$C$47</f>
        <v>0</v>
      </c>
      <c r="D41" s="75">
        <f>D37*'Levellized Salt Refinery Plant '!$C$47</f>
        <v>0</v>
      </c>
      <c r="E41" s="75">
        <f>E37*'Levellized Salt Refinery Plant '!$C$47</f>
        <v>0</v>
      </c>
      <c r="F41" s="75">
        <f>F37*'Levellized Salt Refinery Plant '!$C$47</f>
        <v>725428.85857575003</v>
      </c>
      <c r="G41" s="75">
        <f>G37*'Levellized Salt Refinery Plant '!$C$47</f>
        <v>1450857.7171515001</v>
      </c>
      <c r="H41" s="75">
        <f>H37*'Levellized Salt Refinery Plant '!$C$47</f>
        <v>2176286.57572725</v>
      </c>
      <c r="I41" s="75">
        <f>I37*'Levellized Salt Refinery Plant '!$C$47</f>
        <v>2901715.4343030001</v>
      </c>
      <c r="J41" s="75">
        <f>J37*'Levellized Salt Refinery Plant '!$C$47</f>
        <v>3627144.2928787502</v>
      </c>
      <c r="K41" s="75">
        <f>K37*'Levellized Salt Refinery Plant '!$C$47</f>
        <v>4352573.1514544999</v>
      </c>
      <c r="L41" s="75">
        <f>L37*'Levellized Salt Refinery Plant '!$C$47</f>
        <v>5078002.0100302501</v>
      </c>
      <c r="M41" s="75">
        <f>M37*'Levellized Salt Refinery Plant '!$C$47</f>
        <v>5803430.8686060002</v>
      </c>
      <c r="N41" s="75">
        <f>N37*'Levellized Salt Refinery Plant '!$C$47</f>
        <v>5803430.8686060002</v>
      </c>
      <c r="O41" s="75">
        <f>O37*'Levellized Salt Refinery Plant '!$C$47</f>
        <v>5803430.8686060002</v>
      </c>
      <c r="P41" s="75">
        <f>P37*'Levellized Salt Refinery Plant '!$C$47</f>
        <v>5803430.8686060002</v>
      </c>
      <c r="Q41" s="75">
        <f>Q37*'Levellized Salt Refinery Plant '!$C$47</f>
        <v>5803430.8686060002</v>
      </c>
      <c r="R41" s="75">
        <f>R37*'Levellized Salt Refinery Plant '!$C$47</f>
        <v>5803430.8686060002</v>
      </c>
      <c r="S41" s="75">
        <f>S37*'Levellized Salt Refinery Plant '!$C$47</f>
        <v>5803430.8686060002</v>
      </c>
      <c r="T41" s="75">
        <f>T37*'Levellized Salt Refinery Plant '!$C$47</f>
        <v>5803430.8686060002</v>
      </c>
      <c r="U41" s="75">
        <f>U37*'Levellized Salt Refinery Plant '!$C$47</f>
        <v>5803430.8686060002</v>
      </c>
      <c r="V41" s="75">
        <f>V37*'Levellized Salt Refinery Plant '!$C$47</f>
        <v>5803430.8686060002</v>
      </c>
      <c r="W41" s="75">
        <f>W37*'Levellized Salt Refinery Plant '!$C$47</f>
        <v>5803430.8686060002</v>
      </c>
      <c r="X41" s="75">
        <f>X37*'Levellized Salt Refinery Plant '!$C$47</f>
        <v>5803430.8686060002</v>
      </c>
      <c r="Y41" s="75">
        <f>Y37*'Levellized Salt Refinery Plant '!$C$47</f>
        <v>5803430.8686060002</v>
      </c>
      <c r="Z41" s="75">
        <f>Z37*'Levellized Salt Refinery Plant '!$C$47</f>
        <v>5803430.8686060002</v>
      </c>
      <c r="AA41" s="75">
        <f>AA37*'Levellized Salt Refinery Plant '!$C$47</f>
        <v>5803430.8686060002</v>
      </c>
      <c r="AB41" s="75">
        <f>AB37*'Levellized Salt Refinery Plant '!$C$47</f>
        <v>5803430.8686060002</v>
      </c>
      <c r="AC41" s="75">
        <f>AC37*'Levellized Salt Refinery Plant '!$C$47</f>
        <v>5803430.8686060002</v>
      </c>
      <c r="AD41" s="75">
        <f>AD37*'Levellized Salt Refinery Plant '!$C$47</f>
        <v>5803430.8686060002</v>
      </c>
      <c r="AE41" s="75">
        <f>AE37*'Levellized Salt Refinery Plant '!$C$47</f>
        <v>5803430.8686060002</v>
      </c>
      <c r="AF41" s="75">
        <f>AF37*'Levellized Salt Refinery Plant '!$C$47</f>
        <v>5803430.8686060002</v>
      </c>
      <c r="AG41" s="75">
        <f>AG37*'Levellized Salt Refinery Plant '!$C$47</f>
        <v>5803430.8686060002</v>
      </c>
      <c r="AH41" s="75">
        <f>AH37*'Levellized Salt Refinery Plant '!$C$47</f>
        <v>5803430.8686060002</v>
      </c>
      <c r="AI41" s="75">
        <f>AI37*'Levellized Salt Refinery Plant '!$C$47</f>
        <v>5803430.8686060002</v>
      </c>
      <c r="AJ41" s="75">
        <f>AJ37*'Levellized Salt Refinery Plant '!$C$47</f>
        <v>5803430.8686060002</v>
      </c>
      <c r="AK41" s="75">
        <f>AK37*'Levellized Salt Refinery Plant '!$C$47</f>
        <v>5803430.8686060002</v>
      </c>
      <c r="AL41" s="75">
        <f>AL37*'Levellized Salt Refinery Plant '!$C$47</f>
        <v>5803430.8686060002</v>
      </c>
      <c r="AM41" s="75">
        <f>AM37*'Levellized Salt Refinery Plant '!$C$47</f>
        <v>5803430.8686060002</v>
      </c>
      <c r="AN41" s="75">
        <f>AN37*'Levellized Salt Refinery Plant '!$C$47</f>
        <v>5803430.8686060002</v>
      </c>
      <c r="AO41" s="75">
        <f>AO37*'Levellized Salt Refinery Plant '!$C$47</f>
        <v>5803430.8686060002</v>
      </c>
      <c r="AP41" s="75">
        <f>AP37*'Levellized Salt Refinery Plant '!$C$47</f>
        <v>5803430.8686060002</v>
      </c>
      <c r="AQ41" s="75">
        <f>AQ37*'Levellized Salt Refinery Plant '!$C$47</f>
        <v>5803430.8686060002</v>
      </c>
      <c r="AR41" s="75">
        <f>AR37*'Levellized Salt Refinery Plant '!$C$47</f>
        <v>5803430.8686060002</v>
      </c>
      <c r="AS41" s="75">
        <f>AS37*'Levellized Salt Refinery Plant '!$C$47</f>
        <v>5803430.8686060002</v>
      </c>
      <c r="AT41" s="75">
        <f>AT37*'Levellized Salt Refinery Plant '!$C$47</f>
        <v>5803430.8686060002</v>
      </c>
      <c r="AU41" s="75">
        <f>AU37*'Levellized Salt Refinery Plant '!$C$47</f>
        <v>5803430.8686060002</v>
      </c>
      <c r="AV41" s="75">
        <f>AV37*'Levellized Salt Refinery Plant '!$C$47</f>
        <v>5803430.8686060002</v>
      </c>
      <c r="AW41" s="75">
        <f>AW37*'Levellized Salt Refinery Plant '!$C$47</f>
        <v>5803430.8686060002</v>
      </c>
      <c r="AX41" s="75">
        <f>AX37*'Levellized Salt Refinery Plant '!$C$47</f>
        <v>5803430.8686060002</v>
      </c>
      <c r="AY41" s="75">
        <f>AY37*'Levellized Salt Refinery Plant '!$C$47</f>
        <v>5803430.8686060002</v>
      </c>
      <c r="AZ41" s="75">
        <f>AZ37*'Levellized Salt Refinery Plant '!$C$47</f>
        <v>5803430.8686060002</v>
      </c>
      <c r="BA41" s="75">
        <f>BA37*'Levellized Salt Refinery Plant '!$C$47</f>
        <v>5803430.8686060002</v>
      </c>
      <c r="BB41" s="75">
        <f>BB37*'Levellized Salt Refinery Plant '!$C$47</f>
        <v>5803430.8686060002</v>
      </c>
      <c r="BC41" s="75">
        <f>BC37*'Levellized Salt Refinery Plant '!$C$47</f>
        <v>5803430.8686060002</v>
      </c>
      <c r="BD41" s="75">
        <f>BD37*'Levellized Salt Refinery Plant '!$C$47</f>
        <v>5803430.8686060002</v>
      </c>
      <c r="BE41" s="75">
        <f>BE37*'Levellized Salt Refinery Plant '!$C$47</f>
        <v>5803430.8686060002</v>
      </c>
      <c r="BF41" s="75">
        <f>BF37*'Levellized Salt Refinery Plant '!$C$47</f>
        <v>5803430.8686060002</v>
      </c>
      <c r="BG41" s="75">
        <f>BG37*'Levellized Salt Refinery Plant '!$C$47</f>
        <v>5803430.8686060002</v>
      </c>
      <c r="BH41" s="75">
        <f>BH37*'Levellized Salt Refinery Plant '!$C$47</f>
        <v>5803430.8686060002</v>
      </c>
      <c r="BI41" s="75"/>
    </row>
    <row r="42" spans="1:61" hidden="1" x14ac:dyDescent="0.2">
      <c r="A42" t="s">
        <v>561</v>
      </c>
      <c r="B42" s="86">
        <v>3.33</v>
      </c>
      <c r="C42" s="78">
        <v>190</v>
      </c>
      <c r="D42" s="10">
        <f xml:space="preserve"> C42 + $B42</f>
        <v>193.33</v>
      </c>
      <c r="E42" s="10">
        <f t="shared" ref="E42:BH42" si="16" xml:space="preserve"> D42 + $B42</f>
        <v>196.66000000000003</v>
      </c>
      <c r="F42" s="10">
        <f t="shared" si="16"/>
        <v>199.99000000000004</v>
      </c>
      <c r="G42" s="10">
        <f t="shared" si="16"/>
        <v>203.32000000000005</v>
      </c>
      <c r="H42" s="10">
        <f t="shared" si="16"/>
        <v>206.65000000000006</v>
      </c>
      <c r="I42" s="10">
        <f t="shared" si="16"/>
        <v>209.98000000000008</v>
      </c>
      <c r="J42" s="10">
        <f t="shared" si="16"/>
        <v>213.31000000000009</v>
      </c>
      <c r="K42" s="10">
        <f t="shared" si="16"/>
        <v>216.6400000000001</v>
      </c>
      <c r="L42" s="10">
        <f t="shared" si="16"/>
        <v>219.97000000000011</v>
      </c>
      <c r="M42" s="10">
        <f t="shared" si="16"/>
        <v>223.30000000000013</v>
      </c>
      <c r="N42" s="10">
        <f t="shared" si="16"/>
        <v>226.63000000000014</v>
      </c>
      <c r="O42" s="10">
        <f t="shared" si="16"/>
        <v>229.96000000000015</v>
      </c>
      <c r="P42" s="10">
        <f t="shared" si="16"/>
        <v>233.29000000000016</v>
      </c>
      <c r="Q42" s="10">
        <f t="shared" si="16"/>
        <v>236.62000000000018</v>
      </c>
      <c r="R42" s="10">
        <f t="shared" si="16"/>
        <v>239.95000000000019</v>
      </c>
      <c r="S42" s="10">
        <f t="shared" si="16"/>
        <v>243.2800000000002</v>
      </c>
      <c r="T42" s="10">
        <f t="shared" si="16"/>
        <v>246.61000000000021</v>
      </c>
      <c r="U42" s="10">
        <f t="shared" si="16"/>
        <v>249.94000000000023</v>
      </c>
      <c r="V42" s="10">
        <f t="shared" si="16"/>
        <v>253.27000000000024</v>
      </c>
      <c r="W42" s="10">
        <f t="shared" si="16"/>
        <v>256.60000000000025</v>
      </c>
      <c r="X42" s="10">
        <f t="shared" si="16"/>
        <v>259.93000000000023</v>
      </c>
      <c r="Y42" s="10">
        <f t="shared" si="16"/>
        <v>263.26000000000022</v>
      </c>
      <c r="Z42" s="10">
        <f t="shared" si="16"/>
        <v>266.5900000000002</v>
      </c>
      <c r="AA42" s="10">
        <f t="shared" si="16"/>
        <v>269.92000000000019</v>
      </c>
      <c r="AB42" s="10">
        <f t="shared" si="16"/>
        <v>273.25000000000017</v>
      </c>
      <c r="AC42" s="10">
        <f t="shared" si="16"/>
        <v>276.58000000000015</v>
      </c>
      <c r="AD42" s="10">
        <f t="shared" si="16"/>
        <v>279.91000000000014</v>
      </c>
      <c r="AE42" s="10">
        <f t="shared" si="16"/>
        <v>283.24000000000012</v>
      </c>
      <c r="AF42" s="10">
        <f t="shared" si="16"/>
        <v>286.57000000000011</v>
      </c>
      <c r="AG42" s="10">
        <f t="shared" si="16"/>
        <v>289.90000000000009</v>
      </c>
      <c r="AH42" s="10">
        <f t="shared" si="16"/>
        <v>293.23000000000008</v>
      </c>
      <c r="AI42" s="10">
        <f t="shared" si="16"/>
        <v>296.56000000000006</v>
      </c>
      <c r="AJ42" s="10">
        <f t="shared" si="16"/>
        <v>299.89000000000004</v>
      </c>
      <c r="AK42" s="10">
        <f t="shared" si="16"/>
        <v>303.22000000000003</v>
      </c>
      <c r="AL42" s="10">
        <f t="shared" si="16"/>
        <v>306.55</v>
      </c>
      <c r="AM42" s="10">
        <f t="shared" si="16"/>
        <v>309.88</v>
      </c>
      <c r="AN42" s="10">
        <f t="shared" si="16"/>
        <v>313.20999999999998</v>
      </c>
      <c r="AO42" s="10">
        <f t="shared" si="16"/>
        <v>316.53999999999996</v>
      </c>
      <c r="AP42" s="10">
        <f t="shared" si="16"/>
        <v>319.86999999999995</v>
      </c>
      <c r="AQ42" s="10">
        <f t="shared" si="16"/>
        <v>323.19999999999993</v>
      </c>
      <c r="AR42" s="10">
        <f t="shared" si="16"/>
        <v>326.52999999999992</v>
      </c>
      <c r="AS42" s="10">
        <f t="shared" si="16"/>
        <v>329.8599999999999</v>
      </c>
      <c r="AT42" s="10">
        <f t="shared" si="16"/>
        <v>333.18999999999988</v>
      </c>
      <c r="AU42" s="10">
        <f t="shared" si="16"/>
        <v>336.51999999999987</v>
      </c>
      <c r="AV42" s="10">
        <f t="shared" si="16"/>
        <v>339.84999999999985</v>
      </c>
      <c r="AW42" s="10">
        <f t="shared" si="16"/>
        <v>343.17999999999984</v>
      </c>
      <c r="AX42" s="10">
        <f t="shared" si="16"/>
        <v>346.50999999999982</v>
      </c>
      <c r="AY42" s="10">
        <f t="shared" si="16"/>
        <v>349.8399999999998</v>
      </c>
      <c r="AZ42" s="10">
        <f t="shared" si="16"/>
        <v>353.16999999999979</v>
      </c>
      <c r="BA42" s="10">
        <f t="shared" si="16"/>
        <v>356.49999999999977</v>
      </c>
      <c r="BB42" s="10">
        <f t="shared" si="16"/>
        <v>359.82999999999976</v>
      </c>
      <c r="BC42" s="10">
        <f t="shared" si="16"/>
        <v>363.15999999999974</v>
      </c>
      <c r="BD42" s="10">
        <f t="shared" si="16"/>
        <v>366.48999999999972</v>
      </c>
      <c r="BE42" s="10">
        <f t="shared" si="16"/>
        <v>369.81999999999971</v>
      </c>
      <c r="BF42" s="10">
        <f t="shared" si="16"/>
        <v>373.14999999999969</v>
      </c>
      <c r="BG42" s="10">
        <f t="shared" si="16"/>
        <v>376.47999999999968</v>
      </c>
      <c r="BH42" s="10">
        <f t="shared" si="16"/>
        <v>379.80999999999966</v>
      </c>
      <c r="BI42" s="10"/>
    </row>
    <row r="43" spans="1:61" s="76" customFormat="1" hidden="1" x14ac:dyDescent="0.2">
      <c r="A43" s="76" t="s">
        <v>19</v>
      </c>
      <c r="B43" s="123"/>
      <c r="C43" s="77">
        <f t="shared" ref="C43:BH43" si="17">C38*C42</f>
        <v>0</v>
      </c>
      <c r="D43" s="77">
        <f t="shared" si="17"/>
        <v>0</v>
      </c>
      <c r="E43" s="77">
        <f t="shared" si="17"/>
        <v>0</v>
      </c>
      <c r="F43" s="77">
        <f t="shared" si="17"/>
        <v>17336633.125000004</v>
      </c>
      <c r="G43" s="77">
        <f t="shared" si="17"/>
        <v>35250605.000000007</v>
      </c>
      <c r="H43" s="77">
        <f t="shared" si="17"/>
        <v>53741915.625000015</v>
      </c>
      <c r="I43" s="77">
        <f t="shared" si="17"/>
        <v>72810565.00000003</v>
      </c>
      <c r="J43" s="77">
        <f>J38*J42</f>
        <v>92456553.125000045</v>
      </c>
      <c r="K43" s="77">
        <f t="shared" si="17"/>
        <v>112679880.00000004</v>
      </c>
      <c r="L43" s="77">
        <f t="shared" si="17"/>
        <v>133480545.62500007</v>
      </c>
      <c r="M43" s="77">
        <f t="shared" si="17"/>
        <v>154858550.00000009</v>
      </c>
      <c r="N43" s="77">
        <f t="shared" si="17"/>
        <v>157167905.00000009</v>
      </c>
      <c r="O43" s="77">
        <f t="shared" si="17"/>
        <v>159477260.00000009</v>
      </c>
      <c r="P43" s="77">
        <f t="shared" si="17"/>
        <v>161786615.00000012</v>
      </c>
      <c r="Q43" s="77">
        <f t="shared" si="17"/>
        <v>164095970.00000012</v>
      </c>
      <c r="R43" s="77">
        <f t="shared" si="17"/>
        <v>166405325.00000012</v>
      </c>
      <c r="S43" s="77">
        <f t="shared" si="17"/>
        <v>168714680.00000015</v>
      </c>
      <c r="T43" s="77">
        <f t="shared" si="17"/>
        <v>171024035.00000015</v>
      </c>
      <c r="U43" s="77">
        <f t="shared" si="17"/>
        <v>173333390.00000015</v>
      </c>
      <c r="V43" s="77">
        <f t="shared" si="17"/>
        <v>175642745.00000018</v>
      </c>
      <c r="W43" s="77">
        <f t="shared" si="17"/>
        <v>177952100.00000018</v>
      </c>
      <c r="X43" s="77">
        <f t="shared" si="17"/>
        <v>180261455.00000015</v>
      </c>
      <c r="Y43" s="77">
        <f t="shared" si="17"/>
        <v>182570810.00000015</v>
      </c>
      <c r="Z43" s="77">
        <f t="shared" si="17"/>
        <v>184880165.00000015</v>
      </c>
      <c r="AA43" s="77">
        <f t="shared" si="17"/>
        <v>187189520.00000012</v>
      </c>
      <c r="AB43" s="77">
        <f t="shared" si="17"/>
        <v>189498875.00000012</v>
      </c>
      <c r="AC43" s="77">
        <f t="shared" si="17"/>
        <v>191808230.00000012</v>
      </c>
      <c r="AD43" s="77">
        <f t="shared" si="17"/>
        <v>194117585.00000009</v>
      </c>
      <c r="AE43" s="77">
        <f t="shared" si="17"/>
        <v>196426940.00000009</v>
      </c>
      <c r="AF43" s="77">
        <f t="shared" si="17"/>
        <v>198736295.00000006</v>
      </c>
      <c r="AG43" s="77">
        <f t="shared" si="17"/>
        <v>201045650.00000006</v>
      </c>
      <c r="AH43" s="77">
        <f t="shared" si="17"/>
        <v>203355005.00000006</v>
      </c>
      <c r="AI43" s="77">
        <f t="shared" si="17"/>
        <v>205664360.00000003</v>
      </c>
      <c r="AJ43" s="77">
        <f t="shared" si="17"/>
        <v>207973715.00000003</v>
      </c>
      <c r="AK43" s="77">
        <f t="shared" si="17"/>
        <v>210283070.00000003</v>
      </c>
      <c r="AL43" s="77">
        <f t="shared" si="17"/>
        <v>212592425</v>
      </c>
      <c r="AM43" s="77">
        <f t="shared" si="17"/>
        <v>214901780</v>
      </c>
      <c r="AN43" s="77">
        <f t="shared" si="17"/>
        <v>217211135</v>
      </c>
      <c r="AO43" s="77">
        <f t="shared" si="17"/>
        <v>219520489.99999997</v>
      </c>
      <c r="AP43" s="77">
        <f t="shared" si="17"/>
        <v>221829844.99999997</v>
      </c>
      <c r="AQ43" s="77">
        <f t="shared" si="17"/>
        <v>224139199.99999994</v>
      </c>
      <c r="AR43" s="77">
        <f t="shared" si="17"/>
        <v>226448554.99999994</v>
      </c>
      <c r="AS43" s="77">
        <f t="shared" si="17"/>
        <v>228757909.99999994</v>
      </c>
      <c r="AT43" s="77">
        <f t="shared" si="17"/>
        <v>231067264.99999991</v>
      </c>
      <c r="AU43" s="77">
        <f t="shared" si="17"/>
        <v>233376619.99999991</v>
      </c>
      <c r="AV43" s="77">
        <f t="shared" si="17"/>
        <v>235685974.99999991</v>
      </c>
      <c r="AW43" s="77">
        <f t="shared" si="17"/>
        <v>237995329.99999988</v>
      </c>
      <c r="AX43" s="77">
        <f t="shared" si="17"/>
        <v>240304684.99999988</v>
      </c>
      <c r="AY43" s="77">
        <f t="shared" si="17"/>
        <v>242614039.99999985</v>
      </c>
      <c r="AZ43" s="77">
        <f t="shared" si="17"/>
        <v>244923394.99999985</v>
      </c>
      <c r="BA43" s="77">
        <f t="shared" si="17"/>
        <v>247232749.99999985</v>
      </c>
      <c r="BB43" s="77">
        <f t="shared" si="17"/>
        <v>249542104.99999982</v>
      </c>
      <c r="BC43" s="77">
        <f t="shared" si="17"/>
        <v>251851459.99999982</v>
      </c>
      <c r="BD43" s="77">
        <f t="shared" si="17"/>
        <v>254160814.99999982</v>
      </c>
      <c r="BE43" s="77">
        <f t="shared" si="17"/>
        <v>256470169.99999979</v>
      </c>
      <c r="BF43" s="77">
        <f t="shared" si="17"/>
        <v>258779524.99999979</v>
      </c>
      <c r="BG43" s="77">
        <f t="shared" si="17"/>
        <v>261088879.99999976</v>
      </c>
      <c r="BH43" s="77">
        <f t="shared" si="17"/>
        <v>263398234.99999976</v>
      </c>
      <c r="BI43" s="77"/>
    </row>
    <row r="44" spans="1:61" x14ac:dyDescent="0.2">
      <c r="B44" s="31"/>
    </row>
    <row r="45" spans="1:61" x14ac:dyDescent="0.2">
      <c r="A45" t="s">
        <v>553</v>
      </c>
      <c r="B45" s="31"/>
      <c r="C45" s="94">
        <f t="shared" ref="C45:AL45" si="18" xml:space="preserve"> D46</f>
        <v>0</v>
      </c>
      <c r="D45" s="94">
        <f t="shared" si="18"/>
        <v>1</v>
      </c>
      <c r="E45" s="94">
        <f t="shared" si="18"/>
        <v>1</v>
      </c>
      <c r="F45" s="94">
        <f t="shared" si="18"/>
        <v>1</v>
      </c>
      <c r="G45" s="94">
        <f t="shared" si="18"/>
        <v>1</v>
      </c>
      <c r="H45" s="94">
        <f t="shared" si="18"/>
        <v>1</v>
      </c>
      <c r="I45" s="94">
        <f t="shared" si="18"/>
        <v>1</v>
      </c>
      <c r="J45" s="94">
        <f t="shared" si="18"/>
        <v>1</v>
      </c>
      <c r="K45" s="94">
        <f t="shared" si="18"/>
        <v>1</v>
      </c>
      <c r="L45" s="94">
        <f t="shared" si="18"/>
        <v>1</v>
      </c>
      <c r="M45" s="94">
        <f t="shared" si="18"/>
        <v>1</v>
      </c>
      <c r="N45" s="94">
        <f t="shared" si="18"/>
        <v>1</v>
      </c>
      <c r="O45" s="94">
        <f t="shared" si="18"/>
        <v>1</v>
      </c>
      <c r="P45" s="94">
        <f t="shared" si="18"/>
        <v>1</v>
      </c>
      <c r="Q45" s="94">
        <f t="shared" si="18"/>
        <v>1</v>
      </c>
      <c r="R45" s="94">
        <f t="shared" si="18"/>
        <v>1</v>
      </c>
      <c r="S45" s="94">
        <f t="shared" si="18"/>
        <v>0</v>
      </c>
      <c r="T45" s="94">
        <f t="shared" si="18"/>
        <v>0</v>
      </c>
      <c r="U45" s="94">
        <f t="shared" si="18"/>
        <v>0</v>
      </c>
      <c r="V45" s="94">
        <f t="shared" si="18"/>
        <v>0</v>
      </c>
      <c r="W45" s="94">
        <f t="shared" si="18"/>
        <v>0</v>
      </c>
      <c r="X45" s="94">
        <f t="shared" si="18"/>
        <v>0</v>
      </c>
      <c r="Y45" s="94">
        <f t="shared" si="18"/>
        <v>0</v>
      </c>
      <c r="Z45" s="94">
        <f t="shared" si="18"/>
        <v>0</v>
      </c>
      <c r="AA45" s="94">
        <f t="shared" si="18"/>
        <v>0</v>
      </c>
      <c r="AB45" s="94">
        <f t="shared" si="18"/>
        <v>0</v>
      </c>
      <c r="AC45" s="94">
        <f t="shared" si="18"/>
        <v>0</v>
      </c>
      <c r="AD45" s="94">
        <f t="shared" si="18"/>
        <v>0</v>
      </c>
      <c r="AE45" s="94">
        <f t="shared" si="18"/>
        <v>0</v>
      </c>
      <c r="AF45" s="94">
        <f t="shared" si="18"/>
        <v>0</v>
      </c>
      <c r="AG45" s="94">
        <f t="shared" si="18"/>
        <v>0</v>
      </c>
      <c r="AH45" s="94">
        <f t="shared" si="18"/>
        <v>0</v>
      </c>
      <c r="AI45" s="94">
        <f t="shared" si="18"/>
        <v>0</v>
      </c>
      <c r="AJ45" s="94">
        <f t="shared" si="18"/>
        <v>0</v>
      </c>
      <c r="AK45" s="94">
        <f t="shared" si="18"/>
        <v>0</v>
      </c>
      <c r="AL45" s="94">
        <f t="shared" si="18"/>
        <v>0</v>
      </c>
      <c r="AM45" s="94">
        <f t="shared" ref="AM45:BH45" si="19" xml:space="preserve"> BI46</f>
        <v>0</v>
      </c>
      <c r="AN45" s="94">
        <f t="shared" si="19"/>
        <v>0</v>
      </c>
      <c r="AO45" s="94">
        <f t="shared" si="19"/>
        <v>0</v>
      </c>
      <c r="AP45" s="94">
        <f t="shared" si="19"/>
        <v>0</v>
      </c>
      <c r="AQ45" s="94">
        <f t="shared" si="19"/>
        <v>0</v>
      </c>
      <c r="AR45" s="94">
        <f t="shared" si="19"/>
        <v>0</v>
      </c>
      <c r="AS45" s="94">
        <f t="shared" si="19"/>
        <v>0</v>
      </c>
      <c r="AT45" s="94">
        <f t="shared" si="19"/>
        <v>0</v>
      </c>
      <c r="AU45" s="94">
        <f t="shared" si="19"/>
        <v>0</v>
      </c>
      <c r="AV45" s="94">
        <f t="shared" si="19"/>
        <v>0</v>
      </c>
      <c r="AW45" s="94">
        <f t="shared" si="19"/>
        <v>0</v>
      </c>
      <c r="AX45" s="94">
        <f t="shared" si="19"/>
        <v>0</v>
      </c>
      <c r="AY45" s="94">
        <f t="shared" si="19"/>
        <v>0</v>
      </c>
      <c r="AZ45" s="94">
        <f t="shared" si="19"/>
        <v>0</v>
      </c>
      <c r="BA45" s="94">
        <f t="shared" si="19"/>
        <v>0</v>
      </c>
      <c r="BB45" s="94">
        <f t="shared" si="19"/>
        <v>0</v>
      </c>
      <c r="BC45" s="94">
        <f t="shared" si="19"/>
        <v>0</v>
      </c>
      <c r="BD45" s="94">
        <f t="shared" si="19"/>
        <v>0</v>
      </c>
      <c r="BE45" s="94">
        <f t="shared" si="19"/>
        <v>0</v>
      </c>
      <c r="BF45" s="94">
        <f t="shared" si="19"/>
        <v>0</v>
      </c>
      <c r="BG45" s="94">
        <f t="shared" si="19"/>
        <v>0</v>
      </c>
      <c r="BH45" s="94">
        <f t="shared" si="19"/>
        <v>0</v>
      </c>
    </row>
    <row r="46" spans="1:61" x14ac:dyDescent="0.2">
      <c r="A46" t="s">
        <v>554</v>
      </c>
      <c r="B46" s="31"/>
      <c r="C46" s="94">
        <f t="shared" ref="C46:AL46" si="20" xml:space="preserve"> D47-C47</f>
        <v>0</v>
      </c>
      <c r="D46" s="94">
        <f t="shared" si="20"/>
        <v>0</v>
      </c>
      <c r="E46" s="94">
        <f t="shared" si="20"/>
        <v>1</v>
      </c>
      <c r="F46" s="94">
        <f t="shared" si="20"/>
        <v>1</v>
      </c>
      <c r="G46" s="94">
        <f t="shared" si="20"/>
        <v>1</v>
      </c>
      <c r="H46" s="94">
        <f t="shared" si="20"/>
        <v>1</v>
      </c>
      <c r="I46" s="94">
        <f t="shared" si="20"/>
        <v>1</v>
      </c>
      <c r="J46" s="94">
        <f t="shared" si="20"/>
        <v>1</v>
      </c>
      <c r="K46" s="94">
        <f t="shared" si="20"/>
        <v>1</v>
      </c>
      <c r="L46" s="94">
        <f t="shared" si="20"/>
        <v>1</v>
      </c>
      <c r="M46" s="94">
        <f t="shared" si="20"/>
        <v>1</v>
      </c>
      <c r="N46" s="94">
        <f t="shared" si="20"/>
        <v>1</v>
      </c>
      <c r="O46" s="94">
        <f t="shared" si="20"/>
        <v>1</v>
      </c>
      <c r="P46" s="94">
        <f t="shared" si="20"/>
        <v>1</v>
      </c>
      <c r="Q46" s="94">
        <f t="shared" si="20"/>
        <v>1</v>
      </c>
      <c r="R46" s="94">
        <f t="shared" si="20"/>
        <v>1</v>
      </c>
      <c r="S46" s="94">
        <f t="shared" si="20"/>
        <v>1</v>
      </c>
      <c r="T46" s="94">
        <f t="shared" si="20"/>
        <v>0</v>
      </c>
      <c r="U46" s="94">
        <f t="shared" si="20"/>
        <v>0</v>
      </c>
      <c r="V46" s="94">
        <f t="shared" si="20"/>
        <v>0</v>
      </c>
      <c r="W46" s="94">
        <f t="shared" si="20"/>
        <v>0</v>
      </c>
      <c r="X46" s="94">
        <f t="shared" si="20"/>
        <v>0</v>
      </c>
      <c r="Y46" s="94">
        <f t="shared" si="20"/>
        <v>0</v>
      </c>
      <c r="Z46" s="94">
        <f t="shared" si="20"/>
        <v>0</v>
      </c>
      <c r="AA46" s="94">
        <f t="shared" si="20"/>
        <v>0</v>
      </c>
      <c r="AB46" s="94">
        <f t="shared" si="20"/>
        <v>0</v>
      </c>
      <c r="AC46" s="94">
        <f t="shared" si="20"/>
        <v>0</v>
      </c>
      <c r="AD46" s="94">
        <f t="shared" si="20"/>
        <v>0</v>
      </c>
      <c r="AE46" s="94">
        <f t="shared" si="20"/>
        <v>0</v>
      </c>
      <c r="AF46" s="94">
        <f t="shared" si="20"/>
        <v>0</v>
      </c>
      <c r="AG46" s="94">
        <f t="shared" si="20"/>
        <v>0</v>
      </c>
      <c r="AH46" s="94">
        <f t="shared" si="20"/>
        <v>0</v>
      </c>
      <c r="AI46" s="94">
        <f t="shared" si="20"/>
        <v>0</v>
      </c>
      <c r="AJ46" s="94">
        <f t="shared" si="20"/>
        <v>0</v>
      </c>
      <c r="AK46" s="94">
        <f t="shared" si="20"/>
        <v>0</v>
      </c>
      <c r="AL46" s="94">
        <f t="shared" si="20"/>
        <v>0</v>
      </c>
      <c r="AM46" s="94">
        <v>0</v>
      </c>
      <c r="AN46" s="94">
        <v>0</v>
      </c>
      <c r="AO46" s="94">
        <v>0</v>
      </c>
      <c r="AP46" s="94">
        <v>0</v>
      </c>
      <c r="AQ46" s="94">
        <v>0</v>
      </c>
      <c r="AR46" s="94">
        <v>0</v>
      </c>
      <c r="AS46" s="94">
        <v>0</v>
      </c>
      <c r="AT46" s="94">
        <v>0</v>
      </c>
      <c r="AU46" s="94">
        <v>0</v>
      </c>
      <c r="AV46" s="94">
        <v>0</v>
      </c>
      <c r="AW46" s="94">
        <v>0</v>
      </c>
      <c r="AX46" s="94">
        <v>0</v>
      </c>
      <c r="AY46" s="94">
        <v>0</v>
      </c>
      <c r="AZ46" s="94">
        <v>0</v>
      </c>
      <c r="BA46" s="94"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  <c r="BG46" s="94">
        <v>0</v>
      </c>
      <c r="BH46" s="94">
        <v>0</v>
      </c>
    </row>
    <row r="47" spans="1:61" x14ac:dyDescent="0.2">
      <c r="A47" t="s">
        <v>555</v>
      </c>
      <c r="B47" s="31"/>
      <c r="C47">
        <v>0</v>
      </c>
      <c r="D47">
        <v>0</v>
      </c>
      <c r="E47">
        <v>0</v>
      </c>
      <c r="F47">
        <v>1</v>
      </c>
      <c r="G47">
        <v>2</v>
      </c>
      <c r="H47">
        <v>3</v>
      </c>
      <c r="I47">
        <v>4</v>
      </c>
      <c r="J47">
        <v>5</v>
      </c>
      <c r="K47">
        <v>6</v>
      </c>
      <c r="L47">
        <v>7</v>
      </c>
      <c r="M47">
        <v>8</v>
      </c>
      <c r="N47">
        <v>9</v>
      </c>
      <c r="O47">
        <v>10</v>
      </c>
      <c r="P47">
        <v>11</v>
      </c>
      <c r="Q47">
        <v>12</v>
      </c>
      <c r="R47">
        <v>13</v>
      </c>
      <c r="S47">
        <v>14</v>
      </c>
      <c r="T47">
        <v>15</v>
      </c>
      <c r="U47">
        <v>15</v>
      </c>
      <c r="V47">
        <v>15</v>
      </c>
      <c r="W47">
        <v>15</v>
      </c>
      <c r="X47">
        <v>15</v>
      </c>
      <c r="Y47">
        <v>15</v>
      </c>
      <c r="Z47">
        <v>15</v>
      </c>
      <c r="AA47">
        <v>15</v>
      </c>
      <c r="AB47">
        <v>15</v>
      </c>
      <c r="AC47">
        <v>15</v>
      </c>
      <c r="AD47">
        <v>15</v>
      </c>
      <c r="AE47">
        <v>15</v>
      </c>
      <c r="AF47">
        <v>15</v>
      </c>
      <c r="AG47">
        <v>15</v>
      </c>
      <c r="AH47">
        <v>15</v>
      </c>
      <c r="AI47">
        <v>15</v>
      </c>
      <c r="AJ47">
        <v>15</v>
      </c>
      <c r="AK47">
        <v>15</v>
      </c>
      <c r="AL47">
        <v>15</v>
      </c>
      <c r="AM47">
        <v>15</v>
      </c>
      <c r="AN47">
        <v>15</v>
      </c>
      <c r="AO47">
        <v>15</v>
      </c>
      <c r="AP47">
        <v>15</v>
      </c>
      <c r="AQ47">
        <v>15</v>
      </c>
      <c r="AR47">
        <v>15</v>
      </c>
      <c r="AS47">
        <v>15</v>
      </c>
      <c r="AT47">
        <v>15</v>
      </c>
      <c r="AU47">
        <v>15</v>
      </c>
      <c r="AV47">
        <v>15</v>
      </c>
      <c r="AW47">
        <v>15</v>
      </c>
      <c r="AX47">
        <v>14</v>
      </c>
      <c r="AY47">
        <v>13</v>
      </c>
      <c r="AZ47">
        <v>12</v>
      </c>
      <c r="BA47">
        <v>11</v>
      </c>
      <c r="BB47">
        <v>10</v>
      </c>
      <c r="BC47">
        <v>9</v>
      </c>
      <c r="BD47">
        <v>8</v>
      </c>
      <c r="BE47">
        <v>7</v>
      </c>
      <c r="BF47">
        <v>6</v>
      </c>
      <c r="BG47">
        <v>5</v>
      </c>
      <c r="BH47">
        <v>4</v>
      </c>
    </row>
    <row r="48" spans="1:61" s="74" customFormat="1" hidden="1" x14ac:dyDescent="0.2">
      <c r="A48" s="74" t="s">
        <v>556</v>
      </c>
      <c r="B48" s="121"/>
      <c r="C48" s="75">
        <f xml:space="preserve"> (C46+D46)/2 * '20MGD 60 Effect Levellized VTE'!$B$3</f>
        <v>0</v>
      </c>
      <c r="D48" s="75">
        <f xml:space="preserve"> (D46+E46)/2 * '20MGD 60 Effect Levellized VTE'!$B$3</f>
        <v>25578205.29037049</v>
      </c>
      <c r="E48" s="75">
        <f xml:space="preserve"> (E46+F46)/2 * '20MGD 60 Effect Levellized VTE'!$B$3</f>
        <v>51156410.580740981</v>
      </c>
      <c r="F48" s="75">
        <f xml:space="preserve"> (F46+G46)/2 * '20MGD 60 Effect Levellized VTE'!$B$3</f>
        <v>51156410.580740981</v>
      </c>
      <c r="G48" s="75">
        <f xml:space="preserve"> (G46+H46)/2 * '20MGD 60 Effect Levellized VTE'!$B$3</f>
        <v>51156410.580740981</v>
      </c>
      <c r="H48" s="75">
        <f xml:space="preserve"> (H46+I46)/2 * '20MGD 60 Effect Levellized VTE'!$B$3</f>
        <v>51156410.580740981</v>
      </c>
      <c r="I48" s="75">
        <f xml:space="preserve"> (I46+J46)/2 * '20MGD 60 Effect Levellized VTE'!$B$3</f>
        <v>51156410.580740981</v>
      </c>
      <c r="J48" s="75">
        <f xml:space="preserve"> (J46+K46)/2 * '20MGD 60 Effect Levellized VTE'!$B$3</f>
        <v>51156410.580740981</v>
      </c>
      <c r="K48" s="75">
        <f xml:space="preserve"> (K46+L46)/2 * '20MGD 60 Effect Levellized VTE'!$B$3</f>
        <v>51156410.580740981</v>
      </c>
      <c r="L48" s="75">
        <f xml:space="preserve"> (L46+M46)/2 * '20MGD 60 Effect Levellized VTE'!$B$3</f>
        <v>51156410.580740981</v>
      </c>
      <c r="M48" s="75">
        <f xml:space="preserve"> (M46+N46)/2 * '20MGD 60 Effect Levellized VTE'!$B$3</f>
        <v>51156410.580740981</v>
      </c>
      <c r="N48" s="75">
        <f xml:space="preserve"> (N46+O46)/2 * '20MGD 60 Effect Levellized VTE'!$B$3</f>
        <v>51156410.580740981</v>
      </c>
      <c r="O48" s="75">
        <f xml:space="preserve"> (O46+P46)/2 * '20MGD 60 Effect Levellized VTE'!$B$3</f>
        <v>51156410.580740981</v>
      </c>
      <c r="P48" s="75">
        <f xml:space="preserve"> (P46+Q46)/2 * '20MGD 60 Effect Levellized VTE'!$B$3</f>
        <v>51156410.580740981</v>
      </c>
      <c r="Q48" s="75">
        <f xml:space="preserve"> (Q46+R46)/2 * '20MGD 60 Effect Levellized VTE'!$B$3</f>
        <v>51156410.580740981</v>
      </c>
      <c r="R48" s="75">
        <f xml:space="preserve"> (R46+S46)/2 * '20MGD 60 Effect Levellized VTE'!$B$3</f>
        <v>51156410.580740981</v>
      </c>
      <c r="S48" s="75">
        <f xml:space="preserve"> (S46+T46)/2 * '20MGD 60 Effect Levellized VTE'!$B$3</f>
        <v>25578205.29037049</v>
      </c>
      <c r="T48" s="75">
        <f xml:space="preserve"> (T46+U46)/2 * '20MGD 60 Effect Levellized VTE'!$B$3</f>
        <v>0</v>
      </c>
      <c r="U48" s="75">
        <f xml:space="preserve"> (U46+V46)/2 * '20MGD 60 Effect Levellized VTE'!$B$3</f>
        <v>0</v>
      </c>
      <c r="V48" s="75">
        <f xml:space="preserve"> (V46+W46)/2 * '20MGD 60 Effect Levellized VTE'!$B$3</f>
        <v>0</v>
      </c>
      <c r="W48" s="75">
        <f xml:space="preserve"> (W46+X46)/2 * '20MGD 60 Effect Levellized VTE'!$B$3</f>
        <v>0</v>
      </c>
      <c r="X48" s="75">
        <f xml:space="preserve"> (X46+Y46)/2 * '20MGD 60 Effect Levellized VTE'!$B$3</f>
        <v>0</v>
      </c>
      <c r="Y48" s="75">
        <f xml:space="preserve"> (Y46+Z46)/2 * '20MGD 60 Effect Levellized VTE'!$B$3</f>
        <v>0</v>
      </c>
      <c r="Z48" s="75">
        <f xml:space="preserve"> (Z46+AA46)/2 * '20MGD 60 Effect Levellized VTE'!$B$3</f>
        <v>0</v>
      </c>
      <c r="AA48" s="75">
        <f xml:space="preserve"> (AA46+AB46)/2 * '20MGD 60 Effect Levellized VTE'!$B$3</f>
        <v>0</v>
      </c>
      <c r="AB48" s="75">
        <f xml:space="preserve"> (AB46+AC46)/2 * '20MGD 60 Effect Levellized VTE'!$B$3</f>
        <v>0</v>
      </c>
      <c r="AC48" s="75">
        <f xml:space="preserve"> (AC46+AD46)/2 * '20MGD 60 Effect Levellized VTE'!$B$3</f>
        <v>0</v>
      </c>
      <c r="AD48" s="75">
        <f xml:space="preserve"> (AD46+AE46)/2 * '20MGD 60 Effect Levellized VTE'!$B$3</f>
        <v>0</v>
      </c>
      <c r="AE48" s="75">
        <f xml:space="preserve"> (AE46+AF46)/2 * '20MGD 60 Effect Levellized VTE'!$B$3</f>
        <v>0</v>
      </c>
      <c r="AF48" s="75">
        <f xml:space="preserve"> (AF46+AG46)/2 * '20MGD 60 Effect Levellized VTE'!$B$3</f>
        <v>0</v>
      </c>
      <c r="AG48" s="75">
        <f xml:space="preserve"> (AG46+AH46)/2 * '20MGD 60 Effect Levellized VTE'!$B$3</f>
        <v>0</v>
      </c>
      <c r="AH48" s="75">
        <f xml:space="preserve"> (AH46+AI46)/2 * '20MGD 60 Effect Levellized VTE'!$B$3</f>
        <v>0</v>
      </c>
      <c r="AI48" s="75">
        <f xml:space="preserve"> (AI46+AJ46)/2 * '20MGD 60 Effect Levellized VTE'!$B$3</f>
        <v>0</v>
      </c>
      <c r="AJ48" s="75">
        <f xml:space="preserve"> (AJ46+AK46)/2 * '20MGD 60 Effect Levellized VTE'!$B$3</f>
        <v>0</v>
      </c>
      <c r="AK48" s="75">
        <f xml:space="preserve"> (AK46+AL46)/2 * '20MGD 60 Effect Levellized VTE'!$B$3</f>
        <v>0</v>
      </c>
      <c r="AL48" s="75">
        <f xml:space="preserve"> (AL46+AM46)/2 * '20MGD 60 Effect Levellized VTE'!$B$3</f>
        <v>0</v>
      </c>
      <c r="AM48" s="75">
        <f xml:space="preserve"> (AM46+BI46)/2 * '20MGD 60 Effect Levellized VTE'!$B$3</f>
        <v>0</v>
      </c>
      <c r="AN48" s="75">
        <f xml:space="preserve"> (AN46+BJ46)/2 * '20MGD 60 Effect Levellized VTE'!$B$3</f>
        <v>0</v>
      </c>
      <c r="AO48" s="75">
        <f xml:space="preserve"> (AO46+BK46)/2 * '20MGD 60 Effect Levellized VTE'!$B$3</f>
        <v>0</v>
      </c>
      <c r="AP48" s="75">
        <f xml:space="preserve"> (AP46+BL46)/2 * '20MGD 60 Effect Levellized VTE'!$B$3</f>
        <v>0</v>
      </c>
      <c r="AQ48" s="75">
        <f xml:space="preserve"> (AQ46+BM46)/2 * '20MGD 60 Effect Levellized VTE'!$B$3</f>
        <v>0</v>
      </c>
      <c r="AR48" s="75">
        <f xml:space="preserve"> (AR46+BN46)/2 * '20MGD 60 Effect Levellized VTE'!$B$3</f>
        <v>0</v>
      </c>
      <c r="AS48" s="75">
        <f xml:space="preserve"> (AS46+BO46)/2 * '20MGD 60 Effect Levellized VTE'!$B$3</f>
        <v>0</v>
      </c>
      <c r="AT48" s="75">
        <f xml:space="preserve"> (AT46+BP46)/2 * '20MGD 60 Effect Levellized VTE'!$B$3</f>
        <v>0</v>
      </c>
      <c r="AU48" s="75">
        <f xml:space="preserve"> (AU46+BQ46)/2 * '20MGD 60 Effect Levellized VTE'!$B$3</f>
        <v>0</v>
      </c>
      <c r="AV48" s="75">
        <f xml:space="preserve"> (AV46+BR46)/2 * '20MGD 60 Effect Levellized VTE'!$B$3</f>
        <v>0</v>
      </c>
      <c r="AW48" s="75">
        <f xml:space="preserve"> (AW46+BS46)/2 * '20MGD 60 Effect Levellized VTE'!$B$3</f>
        <v>0</v>
      </c>
      <c r="AX48" s="75">
        <f xml:space="preserve"> (AX46+BT46)/2 * '20MGD 60 Effect Levellized VTE'!$B$3</f>
        <v>0</v>
      </c>
      <c r="AY48" s="75">
        <f xml:space="preserve"> (AY46+BU46)/2 * '20MGD 60 Effect Levellized VTE'!$B$3</f>
        <v>0</v>
      </c>
      <c r="AZ48" s="75">
        <f xml:space="preserve"> (AZ46+BV46)/2 * '20MGD 60 Effect Levellized VTE'!$B$3</f>
        <v>0</v>
      </c>
      <c r="BA48" s="75">
        <f xml:space="preserve"> (BA46+BW46)/2 * '20MGD 60 Effect Levellized VTE'!$B$3</f>
        <v>0</v>
      </c>
      <c r="BB48" s="75">
        <f xml:space="preserve"> (BB46+BX46)/2 * '20MGD 60 Effect Levellized VTE'!$B$3</f>
        <v>0</v>
      </c>
      <c r="BC48" s="75">
        <f xml:space="preserve"> (BC46+BY46)/2 * '20MGD 60 Effect Levellized VTE'!$B$3</f>
        <v>0</v>
      </c>
      <c r="BD48" s="75">
        <f xml:space="preserve"> (BD46+BZ46)/2 * '20MGD 60 Effect Levellized VTE'!$B$3</f>
        <v>0</v>
      </c>
      <c r="BE48" s="75">
        <f xml:space="preserve"> (BE46+CA46)/2 * '20MGD 60 Effect Levellized VTE'!$B$3</f>
        <v>0</v>
      </c>
      <c r="BF48" s="75">
        <f xml:space="preserve"> (BF46+CB46)/2 * '20MGD 60 Effect Levellized VTE'!$B$3</f>
        <v>0</v>
      </c>
      <c r="BG48" s="75">
        <f xml:space="preserve"> (BG46+CC46)/2 * '20MGD 60 Effect Levellized VTE'!$B$3</f>
        <v>0</v>
      </c>
      <c r="BH48" s="75">
        <f xml:space="preserve"> (BH46+CD46)/2 * '20MGD 60 Effect Levellized VTE'!$B$3</f>
        <v>0</v>
      </c>
      <c r="BI48" s="75"/>
    </row>
    <row r="49" spans="1:61" s="74" customFormat="1" hidden="1" x14ac:dyDescent="0.2">
      <c r="A49" s="74" t="s">
        <v>557</v>
      </c>
      <c r="B49" s="121"/>
      <c r="C49" s="75">
        <f>C47 * '20MGD 60 Effect Levellized VTE'!$B$31</f>
        <v>0</v>
      </c>
      <c r="D49" s="75">
        <f>D47 * '20MGD 60 Effect Levellized VTE'!$B$31</f>
        <v>0</v>
      </c>
      <c r="E49" s="75">
        <f>E47 * '20MGD 60 Effect Levellized VTE'!$B$31</f>
        <v>0</v>
      </c>
      <c r="F49" s="75">
        <f>F47 * '20MGD 60 Effect Levellized VTE'!$B$31</f>
        <v>4307000</v>
      </c>
      <c r="G49" s="75">
        <f>G47 * '20MGD 60 Effect Levellized VTE'!$B$31</f>
        <v>8614000</v>
      </c>
      <c r="H49" s="75">
        <f>H47 * '20MGD 60 Effect Levellized VTE'!$B$31</f>
        <v>12921000</v>
      </c>
      <c r="I49" s="75">
        <f>I47 * '20MGD 60 Effect Levellized VTE'!$B$31</f>
        <v>17228000</v>
      </c>
      <c r="J49" s="75">
        <f>J47 * '20MGD 60 Effect Levellized VTE'!$B$31</f>
        <v>21535000</v>
      </c>
      <c r="K49" s="75">
        <f>K47 * '20MGD 60 Effect Levellized VTE'!$B$31</f>
        <v>25842000</v>
      </c>
      <c r="L49" s="75">
        <f>L47 * '20MGD 60 Effect Levellized VTE'!$B$31</f>
        <v>30149000</v>
      </c>
      <c r="M49" s="75">
        <f>M47 * '20MGD 60 Effect Levellized VTE'!$B$31</f>
        <v>34456000</v>
      </c>
      <c r="N49" s="75">
        <f>N47 * '20MGD 60 Effect Levellized VTE'!$B$31</f>
        <v>38763000</v>
      </c>
      <c r="O49" s="75">
        <f>O47 * '20MGD 60 Effect Levellized VTE'!$B$31</f>
        <v>43070000</v>
      </c>
      <c r="P49" s="75">
        <f>P47 * '20MGD 60 Effect Levellized VTE'!$B$31</f>
        <v>47377000</v>
      </c>
      <c r="Q49" s="75">
        <f>Q47 * '20MGD 60 Effect Levellized VTE'!$B$31</f>
        <v>51684000</v>
      </c>
      <c r="R49" s="75">
        <f>R47 * '20MGD 60 Effect Levellized VTE'!$B$31</f>
        <v>55991000</v>
      </c>
      <c r="S49" s="75">
        <f>S47 * '20MGD 60 Effect Levellized VTE'!$B$31</f>
        <v>60298000</v>
      </c>
      <c r="T49" s="75">
        <f>T47 * '20MGD 60 Effect Levellized VTE'!$B$31</f>
        <v>64605000</v>
      </c>
      <c r="U49" s="75">
        <f>U47 * '20MGD 60 Effect Levellized VTE'!$B$31</f>
        <v>64605000</v>
      </c>
      <c r="V49" s="75">
        <f>V47 * '20MGD 60 Effect Levellized VTE'!$B$31</f>
        <v>64605000</v>
      </c>
      <c r="W49" s="75">
        <f>W47 * '20MGD 60 Effect Levellized VTE'!$B$31</f>
        <v>64605000</v>
      </c>
      <c r="X49" s="75">
        <f>X47 * '20MGD 60 Effect Levellized VTE'!$B$31</f>
        <v>64605000</v>
      </c>
      <c r="Y49" s="75">
        <f>Y47 * '20MGD 60 Effect Levellized VTE'!$B$31</f>
        <v>64605000</v>
      </c>
      <c r="Z49" s="75">
        <f>Z47 * '20MGD 60 Effect Levellized VTE'!$B$31</f>
        <v>64605000</v>
      </c>
      <c r="AA49" s="75">
        <f>AA47 * '20MGD 60 Effect Levellized VTE'!$B$31</f>
        <v>64605000</v>
      </c>
      <c r="AB49" s="75">
        <f>AB47 * '20MGD 60 Effect Levellized VTE'!$B$31</f>
        <v>64605000</v>
      </c>
      <c r="AC49" s="75">
        <f>AC47 * '20MGD 60 Effect Levellized VTE'!$B$31</f>
        <v>64605000</v>
      </c>
      <c r="AD49" s="75">
        <f>AD47 * '20MGD 60 Effect Levellized VTE'!$B$31</f>
        <v>64605000</v>
      </c>
      <c r="AE49" s="75">
        <f>AE47 * '20MGD 60 Effect Levellized VTE'!$B$31</f>
        <v>64605000</v>
      </c>
      <c r="AF49" s="75">
        <f>AF47 * '20MGD 60 Effect Levellized VTE'!$B$31</f>
        <v>64605000</v>
      </c>
      <c r="AG49" s="75">
        <f>AG47 * '20MGD 60 Effect Levellized VTE'!$B$31</f>
        <v>64605000</v>
      </c>
      <c r="AH49" s="75">
        <f>AH47 * '20MGD 60 Effect Levellized VTE'!$B$31</f>
        <v>64605000</v>
      </c>
      <c r="AI49" s="75">
        <f>AI47 * '20MGD 60 Effect Levellized VTE'!$B$31</f>
        <v>64605000</v>
      </c>
      <c r="AJ49" s="75">
        <f>AJ47 * '20MGD 60 Effect Levellized VTE'!$B$31</f>
        <v>64605000</v>
      </c>
      <c r="AK49" s="75">
        <f>AK47 * '20MGD 60 Effect Levellized VTE'!$B$31</f>
        <v>64605000</v>
      </c>
      <c r="AL49" s="75">
        <f>AL47 * '20MGD 60 Effect Levellized VTE'!$B$31</f>
        <v>64605000</v>
      </c>
      <c r="AM49" s="75">
        <f>AM47 * '20MGD 60 Effect Levellized VTE'!$B$31</f>
        <v>64605000</v>
      </c>
      <c r="AN49" s="75">
        <f>AN47 * '20MGD 60 Effect Levellized VTE'!$B$31</f>
        <v>64605000</v>
      </c>
      <c r="AO49" s="75">
        <f>AO47 * '20MGD 60 Effect Levellized VTE'!$B$31</f>
        <v>64605000</v>
      </c>
      <c r="AP49" s="75">
        <f>AP47 * '20MGD 60 Effect Levellized VTE'!$B$31</f>
        <v>64605000</v>
      </c>
      <c r="AQ49" s="75">
        <f>AQ47 * '20MGD 60 Effect Levellized VTE'!$B$31</f>
        <v>64605000</v>
      </c>
      <c r="AR49" s="75">
        <f>AR47 * '20MGD 60 Effect Levellized VTE'!$B$31</f>
        <v>64605000</v>
      </c>
      <c r="AS49" s="75">
        <f>AS47 * '20MGD 60 Effect Levellized VTE'!$B$31</f>
        <v>64605000</v>
      </c>
      <c r="AT49" s="75">
        <f>AT47 * '20MGD 60 Effect Levellized VTE'!$B$31</f>
        <v>64605000</v>
      </c>
      <c r="AU49" s="75">
        <f>AU47 * '20MGD 60 Effect Levellized VTE'!$B$31</f>
        <v>64605000</v>
      </c>
      <c r="AV49" s="75">
        <f>AV47 * '20MGD 60 Effect Levellized VTE'!$B$31</f>
        <v>64605000</v>
      </c>
      <c r="AW49" s="75">
        <f>AW47 * '20MGD 60 Effect Levellized VTE'!$B$31</f>
        <v>64605000</v>
      </c>
      <c r="AX49" s="75">
        <f>AX47 * '20MGD 60 Effect Levellized VTE'!$B$31</f>
        <v>60298000</v>
      </c>
      <c r="AY49" s="75">
        <f>AY47 * '20MGD 60 Effect Levellized VTE'!$B$31</f>
        <v>55991000</v>
      </c>
      <c r="AZ49" s="75">
        <f>AZ47 * '20MGD 60 Effect Levellized VTE'!$B$31</f>
        <v>51684000</v>
      </c>
      <c r="BA49" s="75">
        <f>BA47 * '20MGD 60 Effect Levellized VTE'!$B$31</f>
        <v>47377000</v>
      </c>
      <c r="BB49" s="75">
        <f>BB47 * '20MGD 60 Effect Levellized VTE'!$B$31</f>
        <v>43070000</v>
      </c>
      <c r="BC49" s="75">
        <f>BC47 * '20MGD 60 Effect Levellized VTE'!$B$31</f>
        <v>38763000</v>
      </c>
      <c r="BD49" s="75">
        <f>BD47 * '20MGD 60 Effect Levellized VTE'!$B$31</f>
        <v>34456000</v>
      </c>
      <c r="BE49" s="75">
        <f>BE47 * '20MGD 60 Effect Levellized VTE'!$B$31</f>
        <v>30149000</v>
      </c>
      <c r="BF49" s="75">
        <f>BF47 * '20MGD 60 Effect Levellized VTE'!$B$31</f>
        <v>25842000</v>
      </c>
      <c r="BG49" s="75">
        <f>BG47 * '20MGD 60 Effect Levellized VTE'!$B$31</f>
        <v>21535000</v>
      </c>
      <c r="BH49" s="75">
        <f>BH47 * '20MGD 60 Effect Levellized VTE'!$B$31</f>
        <v>17228000</v>
      </c>
      <c r="BI49" s="75"/>
    </row>
    <row r="50" spans="1:61" s="74" customFormat="1" hidden="1" x14ac:dyDescent="0.2">
      <c r="A50" s="74" t="s">
        <v>558</v>
      </c>
      <c r="B50" s="121"/>
      <c r="C50" s="75">
        <f>C47 * '20MGD 60 Effect Levellized VTE'!$B$24</f>
        <v>0</v>
      </c>
      <c r="D50" s="75">
        <f>D47 * '20MGD 60 Effect Levellized VTE'!$B$24</f>
        <v>0</v>
      </c>
      <c r="E50" s="75">
        <f>E47 * '20MGD 60 Effect Levellized VTE'!$B$24</f>
        <v>0</v>
      </c>
      <c r="F50" s="75">
        <f>F47 * '20MGD 60 Effect Levellized VTE'!$B$24</f>
        <v>4493880</v>
      </c>
      <c r="G50" s="75">
        <f>G47 * '20MGD 60 Effect Levellized VTE'!$B$24</f>
        <v>8987760</v>
      </c>
      <c r="H50" s="75">
        <f>H47 * '20MGD 60 Effect Levellized VTE'!$B$24</f>
        <v>13481640</v>
      </c>
      <c r="I50" s="75">
        <f>I47 * '20MGD 60 Effect Levellized VTE'!$B$24</f>
        <v>17975520</v>
      </c>
      <c r="J50" s="75">
        <f>J47 * '20MGD 60 Effect Levellized VTE'!$B$24</f>
        <v>22469400</v>
      </c>
      <c r="K50" s="75">
        <f>K47 * '20MGD 60 Effect Levellized VTE'!$B$24</f>
        <v>26963280</v>
      </c>
      <c r="L50" s="75">
        <f>L47 * '20MGD 60 Effect Levellized VTE'!$B$24</f>
        <v>31457160</v>
      </c>
      <c r="M50" s="75">
        <f>M47 * '20MGD 60 Effect Levellized VTE'!$B$24</f>
        <v>35951040</v>
      </c>
      <c r="N50" s="75">
        <f>N47 * '20MGD 60 Effect Levellized VTE'!$B$24</f>
        <v>40444920</v>
      </c>
      <c r="O50" s="75">
        <f>O47 * '20MGD 60 Effect Levellized VTE'!$B$24</f>
        <v>44938800</v>
      </c>
      <c r="P50" s="75">
        <f>P47 * '20MGD 60 Effect Levellized VTE'!$B$24</f>
        <v>49432680</v>
      </c>
      <c r="Q50" s="75">
        <f>Q47 * '20MGD 60 Effect Levellized VTE'!$B$24</f>
        <v>53926560</v>
      </c>
      <c r="R50" s="75">
        <f>R47 * '20MGD 60 Effect Levellized VTE'!$B$24</f>
        <v>58420440</v>
      </c>
      <c r="S50" s="75">
        <f>S47 * '20MGD 60 Effect Levellized VTE'!$B$24</f>
        <v>62914320</v>
      </c>
      <c r="T50" s="75">
        <f>T47 * '20MGD 60 Effect Levellized VTE'!$B$24</f>
        <v>67408200</v>
      </c>
      <c r="U50" s="75">
        <f>U47 * '20MGD 60 Effect Levellized VTE'!$B$24</f>
        <v>67408200</v>
      </c>
      <c r="V50" s="75">
        <f>V47 * '20MGD 60 Effect Levellized VTE'!$B$24</f>
        <v>67408200</v>
      </c>
      <c r="W50" s="75">
        <f>W47 * '20MGD 60 Effect Levellized VTE'!$B$24</f>
        <v>67408200</v>
      </c>
      <c r="X50" s="75">
        <f>X47 * '20MGD 60 Effect Levellized VTE'!$B$24</f>
        <v>67408200</v>
      </c>
      <c r="Y50" s="75">
        <f>Y47 * '20MGD 60 Effect Levellized VTE'!$B$24</f>
        <v>67408200</v>
      </c>
      <c r="Z50" s="75">
        <f>Z47 * '20MGD 60 Effect Levellized VTE'!$B$24</f>
        <v>67408200</v>
      </c>
      <c r="AA50" s="75">
        <f>AA47 * '20MGD 60 Effect Levellized VTE'!$B$24</f>
        <v>67408200</v>
      </c>
      <c r="AB50" s="75">
        <f>AB47 * '20MGD 60 Effect Levellized VTE'!$B$24</f>
        <v>67408200</v>
      </c>
      <c r="AC50" s="75">
        <f>AC47 * '20MGD 60 Effect Levellized VTE'!$B$24</f>
        <v>67408200</v>
      </c>
      <c r="AD50" s="75">
        <f>AD47 * '20MGD 60 Effect Levellized VTE'!$B$24</f>
        <v>67408200</v>
      </c>
      <c r="AE50" s="75">
        <f>AE47 * '20MGD 60 Effect Levellized VTE'!$B$24</f>
        <v>67408200</v>
      </c>
      <c r="AF50" s="75">
        <f>AF47 * '20MGD 60 Effect Levellized VTE'!$B$24</f>
        <v>67408200</v>
      </c>
      <c r="AG50" s="75">
        <f>AG47 * '20MGD 60 Effect Levellized VTE'!$B$24</f>
        <v>67408200</v>
      </c>
      <c r="AH50" s="75">
        <f>AH47 * '20MGD 60 Effect Levellized VTE'!$B$24</f>
        <v>67408200</v>
      </c>
      <c r="AI50" s="75">
        <f>AI47 * '20MGD 60 Effect Levellized VTE'!$B$24</f>
        <v>67408200</v>
      </c>
      <c r="AJ50" s="75">
        <f>AJ47 * '20MGD 60 Effect Levellized VTE'!$B$24</f>
        <v>67408200</v>
      </c>
      <c r="AK50" s="75">
        <f>AK47 * '20MGD 60 Effect Levellized VTE'!$B$24</f>
        <v>67408200</v>
      </c>
      <c r="AL50" s="75">
        <f>AL47 * '20MGD 60 Effect Levellized VTE'!$B$24</f>
        <v>67408200</v>
      </c>
      <c r="AM50" s="75">
        <f>AM47 * '20MGD 60 Effect Levellized VTE'!$B$24</f>
        <v>67408200</v>
      </c>
      <c r="AN50" s="75">
        <f>AN47 * '20MGD 60 Effect Levellized VTE'!$B$24</f>
        <v>67408200</v>
      </c>
      <c r="AO50" s="75">
        <f>AO47 * '20MGD 60 Effect Levellized VTE'!$B$24</f>
        <v>67408200</v>
      </c>
      <c r="AP50" s="75">
        <f>AP47 * '20MGD 60 Effect Levellized VTE'!$B$24</f>
        <v>67408200</v>
      </c>
      <c r="AQ50" s="75">
        <f>AQ47 * '20MGD 60 Effect Levellized VTE'!$B$24</f>
        <v>67408200</v>
      </c>
      <c r="AR50" s="75">
        <f>AR47 * '20MGD 60 Effect Levellized VTE'!$B$24</f>
        <v>67408200</v>
      </c>
      <c r="AS50" s="75">
        <f>AS47 * '20MGD 60 Effect Levellized VTE'!$B$24</f>
        <v>67408200</v>
      </c>
      <c r="AT50" s="75">
        <f>AT47 * '20MGD 60 Effect Levellized VTE'!$B$24</f>
        <v>67408200</v>
      </c>
      <c r="AU50" s="75">
        <f>AU47 * '20MGD 60 Effect Levellized VTE'!$B$24</f>
        <v>67408200</v>
      </c>
      <c r="AV50" s="75">
        <f>AV47 * '20MGD 60 Effect Levellized VTE'!$B$24</f>
        <v>67408200</v>
      </c>
      <c r="AW50" s="75">
        <f>AW47 * '20MGD 60 Effect Levellized VTE'!$B$24</f>
        <v>67408200</v>
      </c>
      <c r="AX50" s="75">
        <f>AX47 * '20MGD 60 Effect Levellized VTE'!$B$24</f>
        <v>62914320</v>
      </c>
      <c r="AY50" s="75">
        <f>AY47 * '20MGD 60 Effect Levellized VTE'!$B$24</f>
        <v>58420440</v>
      </c>
      <c r="AZ50" s="75">
        <f>AZ47 * '20MGD 60 Effect Levellized VTE'!$B$24</f>
        <v>53926560</v>
      </c>
      <c r="BA50" s="75">
        <f>BA47 * '20MGD 60 Effect Levellized VTE'!$B$24</f>
        <v>49432680</v>
      </c>
      <c r="BB50" s="75">
        <f>BB47 * '20MGD 60 Effect Levellized VTE'!$B$24</f>
        <v>44938800</v>
      </c>
      <c r="BC50" s="75">
        <f>BC47 * '20MGD 60 Effect Levellized VTE'!$B$24</f>
        <v>40444920</v>
      </c>
      <c r="BD50" s="75">
        <f>BD47 * '20MGD 60 Effect Levellized VTE'!$B$24</f>
        <v>35951040</v>
      </c>
      <c r="BE50" s="75">
        <f>BE47 * '20MGD 60 Effect Levellized VTE'!$B$24</f>
        <v>31457160</v>
      </c>
      <c r="BF50" s="75">
        <f>BF47 * '20MGD 60 Effect Levellized VTE'!$B$24</f>
        <v>26963280</v>
      </c>
      <c r="BG50" s="75">
        <f>BG47 * '20MGD 60 Effect Levellized VTE'!$B$24</f>
        <v>22469400</v>
      </c>
      <c r="BH50" s="75">
        <f>BH47 * '20MGD 60 Effect Levellized VTE'!$B$24</f>
        <v>17975520</v>
      </c>
      <c r="BI50" s="75"/>
    </row>
    <row r="51" spans="1:61" s="91" customFormat="1" x14ac:dyDescent="0.2">
      <c r="A51" s="91" t="s">
        <v>559</v>
      </c>
      <c r="B51" s="124"/>
      <c r="C51" s="92">
        <f xml:space="preserve"> C47 * '20MGD 60 Effect Levellized VTE'!$B$39</f>
        <v>0</v>
      </c>
      <c r="D51" s="92">
        <f>D47 * '20MGD 60 Effect Levellized VTE'!$B$39</f>
        <v>0</v>
      </c>
      <c r="E51" s="92">
        <f>E47 * '20MGD 60 Effect Levellized VTE'!$B$39</f>
        <v>0</v>
      </c>
      <c r="F51" s="92">
        <f>F47 * '20MGD 60 Effect Levellized VTE'!$B$39</f>
        <v>21282.577831507697</v>
      </c>
      <c r="G51" s="92">
        <f>G47 * '20MGD 60 Effect Levellized VTE'!$B$39</f>
        <v>42565.155663015394</v>
      </c>
      <c r="H51" s="92">
        <f>H47 * '20MGD 60 Effect Levellized VTE'!$B$39</f>
        <v>63847.73349452309</v>
      </c>
      <c r="I51" s="92">
        <f>I47 * '20MGD 60 Effect Levellized VTE'!$B$39</f>
        <v>85130.311326030787</v>
      </c>
      <c r="J51" s="92">
        <f>J47 * '20MGD 60 Effect Levellized VTE'!$B$39</f>
        <v>106412.88915753848</v>
      </c>
      <c r="K51" s="92">
        <f>K47 * '20MGD 60 Effect Levellized VTE'!$B$39</f>
        <v>127695.46698904618</v>
      </c>
      <c r="L51" s="92">
        <f>L47 * '20MGD 60 Effect Levellized VTE'!$B$39</f>
        <v>148978.04482055389</v>
      </c>
      <c r="M51" s="92">
        <f>M47 * '20MGD 60 Effect Levellized VTE'!$B$39</f>
        <v>170260.62265206157</v>
      </c>
      <c r="N51" s="92">
        <f>N47 * '20MGD 60 Effect Levellized VTE'!$B$39</f>
        <v>191543.20048356926</v>
      </c>
      <c r="O51" s="92">
        <f>O47 * '20MGD 60 Effect Levellized VTE'!$B$39</f>
        <v>212825.77831507695</v>
      </c>
      <c r="P51" s="92">
        <f>P47 * '20MGD 60 Effect Levellized VTE'!$B$39</f>
        <v>234108.35614658467</v>
      </c>
      <c r="Q51" s="92">
        <f>Q47 * '20MGD 60 Effect Levellized VTE'!$B$39</f>
        <v>255390.93397809236</v>
      </c>
      <c r="R51" s="92">
        <f>R47 * '20MGD 60 Effect Levellized VTE'!$B$39</f>
        <v>276673.51180960005</v>
      </c>
      <c r="S51" s="92">
        <f>S47 * '20MGD 60 Effect Levellized VTE'!$B$39</f>
        <v>297956.08964110777</v>
      </c>
      <c r="T51" s="92">
        <f>T47 * '20MGD 60 Effect Levellized VTE'!$B$39</f>
        <v>319238.66747261543</v>
      </c>
      <c r="U51" s="92">
        <f>U47 * '20MGD 60 Effect Levellized VTE'!$B$39</f>
        <v>319238.66747261543</v>
      </c>
      <c r="V51" s="92">
        <f>V47 * '20MGD 60 Effect Levellized VTE'!$B$39</f>
        <v>319238.66747261543</v>
      </c>
      <c r="W51" s="92">
        <f>W47 * '20MGD 60 Effect Levellized VTE'!$B$39</f>
        <v>319238.66747261543</v>
      </c>
      <c r="X51" s="92">
        <f>X47 * '20MGD 60 Effect Levellized VTE'!$B$39</f>
        <v>319238.66747261543</v>
      </c>
      <c r="Y51" s="92">
        <f>Y47 * '20MGD 60 Effect Levellized VTE'!$B$39</f>
        <v>319238.66747261543</v>
      </c>
      <c r="Z51" s="92">
        <f>Z47 * '20MGD 60 Effect Levellized VTE'!$B$39</f>
        <v>319238.66747261543</v>
      </c>
      <c r="AA51" s="92">
        <f>AA47 * '20MGD 60 Effect Levellized VTE'!$B$39</f>
        <v>319238.66747261543</v>
      </c>
      <c r="AB51" s="92">
        <f>AB47 * '20MGD 60 Effect Levellized VTE'!$B$39</f>
        <v>319238.66747261543</v>
      </c>
      <c r="AC51" s="92">
        <f>AC47 * '20MGD 60 Effect Levellized VTE'!$B$39</f>
        <v>319238.66747261543</v>
      </c>
      <c r="AD51" s="92">
        <f>AD47 * '20MGD 60 Effect Levellized VTE'!$B$39</f>
        <v>319238.66747261543</v>
      </c>
      <c r="AE51" s="92">
        <f>AE47 * '20MGD 60 Effect Levellized VTE'!$B$39</f>
        <v>319238.66747261543</v>
      </c>
      <c r="AF51" s="92">
        <f>AF47 * '20MGD 60 Effect Levellized VTE'!$B$39</f>
        <v>319238.66747261543</v>
      </c>
      <c r="AG51" s="92">
        <f>AG47 * '20MGD 60 Effect Levellized VTE'!$B$39</f>
        <v>319238.66747261543</v>
      </c>
      <c r="AH51" s="92">
        <f>AH47 * '20MGD 60 Effect Levellized VTE'!$B$39</f>
        <v>319238.66747261543</v>
      </c>
      <c r="AI51" s="92">
        <f>AI47 * '20MGD 60 Effect Levellized VTE'!$B$39</f>
        <v>319238.66747261543</v>
      </c>
      <c r="AJ51" s="92">
        <f>AJ47 * '20MGD 60 Effect Levellized VTE'!$B$39</f>
        <v>319238.66747261543</v>
      </c>
      <c r="AK51" s="92">
        <f>AK47 * '20MGD 60 Effect Levellized VTE'!$B$39</f>
        <v>319238.66747261543</v>
      </c>
      <c r="AL51" s="92">
        <f>AL47 * '20MGD 60 Effect Levellized VTE'!$B$39</f>
        <v>319238.66747261543</v>
      </c>
      <c r="AM51" s="92">
        <f>AM47 * '20MGD 60 Effect Levellized VTE'!$B$39</f>
        <v>319238.66747261543</v>
      </c>
      <c r="AN51" s="92">
        <f>AN47 * '20MGD 60 Effect Levellized VTE'!$B$39</f>
        <v>319238.66747261543</v>
      </c>
      <c r="AO51" s="92">
        <f>AO47 * '20MGD 60 Effect Levellized VTE'!$B$39</f>
        <v>319238.66747261543</v>
      </c>
      <c r="AP51" s="92">
        <f>AP47 * '20MGD 60 Effect Levellized VTE'!$B$39</f>
        <v>319238.66747261543</v>
      </c>
      <c r="AQ51" s="92">
        <f>AQ47 * '20MGD 60 Effect Levellized VTE'!$B$39</f>
        <v>319238.66747261543</v>
      </c>
      <c r="AR51" s="92">
        <f>AR47 * '20MGD 60 Effect Levellized VTE'!$B$39</f>
        <v>319238.66747261543</v>
      </c>
      <c r="AS51" s="92">
        <f>AS47 * '20MGD 60 Effect Levellized VTE'!$B$39</f>
        <v>319238.66747261543</v>
      </c>
      <c r="AT51" s="92">
        <f>AT47 * '20MGD 60 Effect Levellized VTE'!$B$39</f>
        <v>319238.66747261543</v>
      </c>
      <c r="AU51" s="92">
        <f>AU47 * '20MGD 60 Effect Levellized VTE'!$B$39</f>
        <v>319238.66747261543</v>
      </c>
      <c r="AV51" s="92">
        <f>AV47 * '20MGD 60 Effect Levellized VTE'!$B$39</f>
        <v>319238.66747261543</v>
      </c>
      <c r="AW51" s="92">
        <f>AW47 * '20MGD 60 Effect Levellized VTE'!$B$39</f>
        <v>319238.66747261543</v>
      </c>
      <c r="AX51" s="92">
        <f>AX47 * '20MGD 60 Effect Levellized VTE'!$B$39</f>
        <v>297956.08964110777</v>
      </c>
      <c r="AY51" s="92">
        <f>AY47 * '20MGD 60 Effect Levellized VTE'!$B$39</f>
        <v>276673.51180960005</v>
      </c>
      <c r="AZ51" s="92">
        <f>AZ47 * '20MGD 60 Effect Levellized VTE'!$B$39</f>
        <v>255390.93397809236</v>
      </c>
      <c r="BA51" s="92">
        <f>BA47 * '20MGD 60 Effect Levellized VTE'!$B$39</f>
        <v>234108.35614658467</v>
      </c>
      <c r="BB51" s="92">
        <f>BB47 * '20MGD 60 Effect Levellized VTE'!$B$39</f>
        <v>212825.77831507695</v>
      </c>
      <c r="BC51" s="92">
        <f>BC47 * '20MGD 60 Effect Levellized VTE'!$B$39</f>
        <v>191543.20048356926</v>
      </c>
      <c r="BD51" s="92">
        <f>BD47 * '20MGD 60 Effect Levellized VTE'!$B$39</f>
        <v>170260.62265206157</v>
      </c>
      <c r="BE51" s="92">
        <f>BE47 * '20MGD 60 Effect Levellized VTE'!$B$39</f>
        <v>148978.04482055389</v>
      </c>
      <c r="BF51" s="92">
        <f>BF47 * '20MGD 60 Effect Levellized VTE'!$B$39</f>
        <v>127695.46698904618</v>
      </c>
      <c r="BG51" s="92">
        <f>BG47 * '20MGD 60 Effect Levellized VTE'!$B$39</f>
        <v>106412.88915753848</v>
      </c>
      <c r="BH51" s="92">
        <f>BH47 * '20MGD 60 Effect Levellized VTE'!$B$39</f>
        <v>85130.311326030787</v>
      </c>
      <c r="BI51" s="92"/>
    </row>
    <row r="52" spans="1:61" s="91" customFormat="1" x14ac:dyDescent="0.2">
      <c r="A52" s="91" t="s">
        <v>590</v>
      </c>
      <c r="B52" s="124"/>
      <c r="C52" s="92">
        <v>5</v>
      </c>
      <c r="D52" s="92">
        <v>5</v>
      </c>
      <c r="E52" s="92">
        <v>5</v>
      </c>
      <c r="F52" s="92">
        <v>5</v>
      </c>
      <c r="G52" s="92">
        <v>5</v>
      </c>
      <c r="H52" s="92">
        <v>4</v>
      </c>
      <c r="I52" s="92">
        <v>4</v>
      </c>
      <c r="J52" s="92">
        <v>4</v>
      </c>
      <c r="K52" s="92">
        <v>4</v>
      </c>
      <c r="L52" s="92">
        <v>3</v>
      </c>
      <c r="M52" s="92">
        <v>3</v>
      </c>
      <c r="N52" s="92">
        <v>3</v>
      </c>
      <c r="O52" s="92">
        <v>4</v>
      </c>
      <c r="P52" s="92">
        <v>4</v>
      </c>
      <c r="Q52" s="92">
        <v>4</v>
      </c>
      <c r="R52" s="92">
        <v>5</v>
      </c>
      <c r="S52" s="92">
        <v>5</v>
      </c>
      <c r="T52" s="92">
        <v>5</v>
      </c>
      <c r="U52" s="92">
        <v>5</v>
      </c>
      <c r="V52" s="92">
        <v>5</v>
      </c>
      <c r="W52" s="92">
        <v>5</v>
      </c>
      <c r="X52" s="92">
        <v>5</v>
      </c>
      <c r="Y52" s="92">
        <v>5</v>
      </c>
      <c r="Z52" s="92">
        <v>5</v>
      </c>
      <c r="AA52" s="92">
        <v>5</v>
      </c>
      <c r="AB52" s="92">
        <v>5</v>
      </c>
      <c r="AC52" s="92">
        <v>5</v>
      </c>
      <c r="AD52" s="92">
        <v>5</v>
      </c>
      <c r="AE52" s="92">
        <v>5</v>
      </c>
      <c r="AF52" s="92">
        <v>5</v>
      </c>
      <c r="AG52" s="92">
        <v>6</v>
      </c>
      <c r="AH52" s="92">
        <v>6</v>
      </c>
      <c r="AI52" s="92">
        <v>6</v>
      </c>
      <c r="AJ52" s="92">
        <v>6</v>
      </c>
      <c r="AK52" s="92">
        <v>6</v>
      </c>
      <c r="AL52" s="92">
        <v>6</v>
      </c>
      <c r="AM52" s="92">
        <v>6</v>
      </c>
      <c r="AN52" s="92">
        <v>6</v>
      </c>
      <c r="AO52" s="92">
        <v>6</v>
      </c>
      <c r="AP52" s="92">
        <v>6</v>
      </c>
      <c r="AQ52" s="92">
        <v>6</v>
      </c>
      <c r="AR52" s="92">
        <v>6</v>
      </c>
      <c r="AS52" s="92">
        <v>6</v>
      </c>
      <c r="AT52" s="92">
        <v>6</v>
      </c>
      <c r="AU52" s="92">
        <v>6</v>
      </c>
      <c r="AV52" s="92">
        <v>6</v>
      </c>
      <c r="AW52" s="92">
        <v>6</v>
      </c>
      <c r="AX52" s="92">
        <v>6</v>
      </c>
      <c r="AY52" s="92">
        <v>6</v>
      </c>
      <c r="AZ52" s="92">
        <v>6</v>
      </c>
      <c r="BA52" s="92">
        <v>6</v>
      </c>
      <c r="BB52" s="92">
        <v>6</v>
      </c>
      <c r="BC52" s="92">
        <v>6</v>
      </c>
      <c r="BD52" s="92">
        <v>6</v>
      </c>
      <c r="BE52" s="92">
        <v>6</v>
      </c>
      <c r="BF52" s="92">
        <v>6</v>
      </c>
      <c r="BG52" s="92">
        <v>6</v>
      </c>
      <c r="BH52" s="92">
        <v>6</v>
      </c>
      <c r="BI52" s="92"/>
    </row>
    <row r="53" spans="1:61" s="95" customFormat="1" x14ac:dyDescent="0.2">
      <c r="A53" s="95" t="s">
        <v>566</v>
      </c>
      <c r="B53" s="161"/>
      <c r="C53" s="160">
        <f xml:space="preserve"> C51 / C52</f>
        <v>0</v>
      </c>
      <c r="D53" s="160">
        <f t="shared" ref="D53:BH53" si="21" xml:space="preserve"> D51 / D52</f>
        <v>0</v>
      </c>
      <c r="E53" s="160">
        <f t="shared" si="21"/>
        <v>0</v>
      </c>
      <c r="F53" s="160">
        <f t="shared" si="21"/>
        <v>4256.5155663015394</v>
      </c>
      <c r="G53" s="160">
        <f t="shared" si="21"/>
        <v>8513.0311326030787</v>
      </c>
      <c r="H53" s="160">
        <f t="shared" si="21"/>
        <v>15961.933373630773</v>
      </c>
      <c r="I53" s="160">
        <f t="shared" si="21"/>
        <v>21282.577831507697</v>
      </c>
      <c r="J53" s="160">
        <f t="shared" si="21"/>
        <v>26603.222289384619</v>
      </c>
      <c r="K53" s="160">
        <f t="shared" si="21"/>
        <v>31923.866747261545</v>
      </c>
      <c r="L53" s="160">
        <f t="shared" si="21"/>
        <v>49659.348273517964</v>
      </c>
      <c r="M53" s="160">
        <f t="shared" si="21"/>
        <v>56753.540884020527</v>
      </c>
      <c r="N53" s="160">
        <f t="shared" si="21"/>
        <v>63847.73349452309</v>
      </c>
      <c r="O53" s="160">
        <f t="shared" si="21"/>
        <v>53206.444578769238</v>
      </c>
      <c r="P53" s="160">
        <f t="shared" si="21"/>
        <v>58527.089036646168</v>
      </c>
      <c r="Q53" s="160">
        <f t="shared" si="21"/>
        <v>63847.73349452309</v>
      </c>
      <c r="R53" s="160">
        <f t="shared" si="21"/>
        <v>55334.702361920012</v>
      </c>
      <c r="S53" s="160">
        <f t="shared" si="21"/>
        <v>59591.217928221551</v>
      </c>
      <c r="T53" s="160">
        <f t="shared" si="21"/>
        <v>63847.733494523083</v>
      </c>
      <c r="U53" s="160">
        <f t="shared" si="21"/>
        <v>63847.733494523083</v>
      </c>
      <c r="V53" s="160">
        <f t="shared" si="21"/>
        <v>63847.733494523083</v>
      </c>
      <c r="W53" s="160">
        <f t="shared" si="21"/>
        <v>63847.733494523083</v>
      </c>
      <c r="X53" s="160">
        <f t="shared" si="21"/>
        <v>63847.733494523083</v>
      </c>
      <c r="Y53" s="160">
        <f t="shared" si="21"/>
        <v>63847.733494523083</v>
      </c>
      <c r="Z53" s="160">
        <f t="shared" si="21"/>
        <v>63847.733494523083</v>
      </c>
      <c r="AA53" s="160">
        <f t="shared" si="21"/>
        <v>63847.733494523083</v>
      </c>
      <c r="AB53" s="160">
        <f t="shared" si="21"/>
        <v>63847.733494523083</v>
      </c>
      <c r="AC53" s="160">
        <f t="shared" si="21"/>
        <v>63847.733494523083</v>
      </c>
      <c r="AD53" s="160">
        <f t="shared" si="21"/>
        <v>63847.733494523083</v>
      </c>
      <c r="AE53" s="160">
        <f t="shared" si="21"/>
        <v>63847.733494523083</v>
      </c>
      <c r="AF53" s="160">
        <f t="shared" si="21"/>
        <v>63847.733494523083</v>
      </c>
      <c r="AG53" s="160">
        <f t="shared" si="21"/>
        <v>53206.444578769238</v>
      </c>
      <c r="AH53" s="160">
        <f t="shared" si="21"/>
        <v>53206.444578769238</v>
      </c>
      <c r="AI53" s="160">
        <f t="shared" si="21"/>
        <v>53206.444578769238</v>
      </c>
      <c r="AJ53" s="160">
        <f t="shared" si="21"/>
        <v>53206.444578769238</v>
      </c>
      <c r="AK53" s="160">
        <f t="shared" si="21"/>
        <v>53206.444578769238</v>
      </c>
      <c r="AL53" s="160">
        <f t="shared" si="21"/>
        <v>53206.444578769238</v>
      </c>
      <c r="AM53" s="160">
        <f t="shared" si="21"/>
        <v>53206.444578769238</v>
      </c>
      <c r="AN53" s="160">
        <f t="shared" si="21"/>
        <v>53206.444578769238</v>
      </c>
      <c r="AO53" s="160">
        <f t="shared" si="21"/>
        <v>53206.444578769238</v>
      </c>
      <c r="AP53" s="160">
        <f t="shared" si="21"/>
        <v>53206.444578769238</v>
      </c>
      <c r="AQ53" s="160">
        <f t="shared" si="21"/>
        <v>53206.444578769238</v>
      </c>
      <c r="AR53" s="160">
        <f t="shared" si="21"/>
        <v>53206.444578769238</v>
      </c>
      <c r="AS53" s="160">
        <f t="shared" si="21"/>
        <v>53206.444578769238</v>
      </c>
      <c r="AT53" s="160">
        <f t="shared" si="21"/>
        <v>53206.444578769238</v>
      </c>
      <c r="AU53" s="160">
        <f t="shared" si="21"/>
        <v>53206.444578769238</v>
      </c>
      <c r="AV53" s="160">
        <f t="shared" si="21"/>
        <v>53206.444578769238</v>
      </c>
      <c r="AW53" s="160">
        <f t="shared" si="21"/>
        <v>53206.444578769238</v>
      </c>
      <c r="AX53" s="160">
        <f t="shared" si="21"/>
        <v>49659.348273517964</v>
      </c>
      <c r="AY53" s="160">
        <f t="shared" si="21"/>
        <v>46112.251968266675</v>
      </c>
      <c r="AZ53" s="160">
        <f t="shared" si="21"/>
        <v>42565.155663015394</v>
      </c>
      <c r="BA53" s="160">
        <f t="shared" si="21"/>
        <v>39018.059357764112</v>
      </c>
      <c r="BB53" s="160">
        <f t="shared" si="21"/>
        <v>35470.963052512823</v>
      </c>
      <c r="BC53" s="160">
        <f t="shared" si="21"/>
        <v>31923.866747261545</v>
      </c>
      <c r="BD53" s="160">
        <f t="shared" si="21"/>
        <v>28376.770442010264</v>
      </c>
      <c r="BE53" s="160">
        <f t="shared" si="21"/>
        <v>24829.674136758982</v>
      </c>
      <c r="BF53" s="160">
        <f t="shared" si="21"/>
        <v>21282.577831507697</v>
      </c>
      <c r="BG53" s="160">
        <f t="shared" si="21"/>
        <v>17735.481526256412</v>
      </c>
      <c r="BH53" s="160">
        <f t="shared" si="21"/>
        <v>14188.385221005132</v>
      </c>
      <c r="BI53" s="160"/>
    </row>
    <row r="54" spans="1:61" s="95" customFormat="1" x14ac:dyDescent="0.2">
      <c r="A54" s="95" t="s">
        <v>569</v>
      </c>
      <c r="B54" s="161"/>
      <c r="C54" s="160">
        <f xml:space="preserve"> C53 *  1233.48 * 0.2607</f>
        <v>0</v>
      </c>
      <c r="D54" s="160">
        <f t="shared" ref="D54:BH54" si="22" xml:space="preserve"> D53 *  1233.48 * 0.2607</f>
        <v>0</v>
      </c>
      <c r="E54" s="160">
        <f t="shared" si="22"/>
        <v>0</v>
      </c>
      <c r="F54" s="160">
        <f t="shared" si="22"/>
        <v>1368760.202162127</v>
      </c>
      <c r="G54" s="160">
        <f t="shared" si="22"/>
        <v>2737520.404324254</v>
      </c>
      <c r="H54" s="160">
        <f t="shared" si="22"/>
        <v>5132850.758107977</v>
      </c>
      <c r="I54" s="160">
        <f t="shared" si="22"/>
        <v>6843801.0108106351</v>
      </c>
      <c r="J54" s="160">
        <f t="shared" si="22"/>
        <v>8554751.2635132931</v>
      </c>
      <c r="K54" s="160">
        <f t="shared" si="22"/>
        <v>10265701.516215954</v>
      </c>
      <c r="L54" s="160">
        <f t="shared" si="22"/>
        <v>15968869.025224816</v>
      </c>
      <c r="M54" s="160">
        <f t="shared" si="22"/>
        <v>18250136.02882836</v>
      </c>
      <c r="N54" s="160">
        <f t="shared" si="22"/>
        <v>20531403.032431908</v>
      </c>
      <c r="O54" s="160">
        <f t="shared" si="22"/>
        <v>17109502.527026586</v>
      </c>
      <c r="P54" s="160">
        <f t="shared" si="22"/>
        <v>18820452.779729247</v>
      </c>
      <c r="Q54" s="160">
        <f t="shared" si="22"/>
        <v>20531403.032431908</v>
      </c>
      <c r="R54" s="160">
        <f t="shared" si="22"/>
        <v>17793882.628107652</v>
      </c>
      <c r="S54" s="160">
        <f t="shared" si="22"/>
        <v>19162642.83026978</v>
      </c>
      <c r="T54" s="160">
        <f t="shared" si="22"/>
        <v>20531403.032431904</v>
      </c>
      <c r="U54" s="160">
        <f t="shared" si="22"/>
        <v>20531403.032431904</v>
      </c>
      <c r="V54" s="160">
        <f t="shared" si="22"/>
        <v>20531403.032431904</v>
      </c>
      <c r="W54" s="160">
        <f t="shared" si="22"/>
        <v>20531403.032431904</v>
      </c>
      <c r="X54" s="160">
        <f t="shared" si="22"/>
        <v>20531403.032431904</v>
      </c>
      <c r="Y54" s="160">
        <f t="shared" si="22"/>
        <v>20531403.032431904</v>
      </c>
      <c r="Z54" s="160">
        <f t="shared" si="22"/>
        <v>20531403.032431904</v>
      </c>
      <c r="AA54" s="160">
        <f t="shared" si="22"/>
        <v>20531403.032431904</v>
      </c>
      <c r="AB54" s="160">
        <f t="shared" si="22"/>
        <v>20531403.032431904</v>
      </c>
      <c r="AC54" s="160">
        <f t="shared" si="22"/>
        <v>20531403.032431904</v>
      </c>
      <c r="AD54" s="160">
        <f t="shared" si="22"/>
        <v>20531403.032431904</v>
      </c>
      <c r="AE54" s="160">
        <f t="shared" si="22"/>
        <v>20531403.032431904</v>
      </c>
      <c r="AF54" s="160">
        <f t="shared" si="22"/>
        <v>20531403.032431904</v>
      </c>
      <c r="AG54" s="160">
        <f t="shared" si="22"/>
        <v>17109502.527026586</v>
      </c>
      <c r="AH54" s="160">
        <f t="shared" si="22"/>
        <v>17109502.527026586</v>
      </c>
      <c r="AI54" s="160">
        <f t="shared" si="22"/>
        <v>17109502.527026586</v>
      </c>
      <c r="AJ54" s="160">
        <f t="shared" si="22"/>
        <v>17109502.527026586</v>
      </c>
      <c r="AK54" s="160">
        <f t="shared" si="22"/>
        <v>17109502.527026586</v>
      </c>
      <c r="AL54" s="160">
        <f t="shared" si="22"/>
        <v>17109502.527026586</v>
      </c>
      <c r="AM54" s="160">
        <f t="shared" si="22"/>
        <v>17109502.527026586</v>
      </c>
      <c r="AN54" s="160">
        <f t="shared" si="22"/>
        <v>17109502.527026586</v>
      </c>
      <c r="AO54" s="160">
        <f t="shared" si="22"/>
        <v>17109502.527026586</v>
      </c>
      <c r="AP54" s="160">
        <f t="shared" si="22"/>
        <v>17109502.527026586</v>
      </c>
      <c r="AQ54" s="160">
        <f t="shared" si="22"/>
        <v>17109502.527026586</v>
      </c>
      <c r="AR54" s="160">
        <f t="shared" si="22"/>
        <v>17109502.527026586</v>
      </c>
      <c r="AS54" s="160">
        <f t="shared" si="22"/>
        <v>17109502.527026586</v>
      </c>
      <c r="AT54" s="160">
        <f t="shared" si="22"/>
        <v>17109502.527026586</v>
      </c>
      <c r="AU54" s="160">
        <f t="shared" si="22"/>
        <v>17109502.527026586</v>
      </c>
      <c r="AV54" s="160">
        <f t="shared" si="22"/>
        <v>17109502.527026586</v>
      </c>
      <c r="AW54" s="160">
        <f t="shared" si="22"/>
        <v>17109502.527026586</v>
      </c>
      <c r="AX54" s="160">
        <f t="shared" si="22"/>
        <v>15968869.025224816</v>
      </c>
      <c r="AY54" s="160">
        <f t="shared" si="22"/>
        <v>14828235.523423042</v>
      </c>
      <c r="AZ54" s="160">
        <f t="shared" si="22"/>
        <v>13687602.02162127</v>
      </c>
      <c r="BA54" s="160">
        <f t="shared" si="22"/>
        <v>12546968.519819498</v>
      </c>
      <c r="BB54" s="160">
        <f t="shared" si="22"/>
        <v>11406335.018017724</v>
      </c>
      <c r="BC54" s="160">
        <f t="shared" si="22"/>
        <v>10265701.516215954</v>
      </c>
      <c r="BD54" s="160">
        <f t="shared" si="22"/>
        <v>9125068.0144141801</v>
      </c>
      <c r="BE54" s="160">
        <f t="shared" si="22"/>
        <v>7984434.512612408</v>
      </c>
      <c r="BF54" s="160">
        <f t="shared" si="22"/>
        <v>6843801.0108106351</v>
      </c>
      <c r="BG54" s="160">
        <f t="shared" si="22"/>
        <v>5703167.5090088621</v>
      </c>
      <c r="BH54" s="160">
        <f t="shared" si="22"/>
        <v>4562534.00720709</v>
      </c>
      <c r="BI54" s="160"/>
    </row>
    <row r="55" spans="1:61" s="87" customFormat="1" x14ac:dyDescent="0.2">
      <c r="A55" s="87" t="s">
        <v>584</v>
      </c>
      <c r="B55" s="129"/>
      <c r="C55" s="170">
        <f xml:space="preserve"> C51 + C53</f>
        <v>0</v>
      </c>
      <c r="D55" s="170">
        <f t="shared" ref="D55:BH55" si="23" xml:space="preserve"> D51 + D53</f>
        <v>0</v>
      </c>
      <c r="E55" s="170">
        <f t="shared" si="23"/>
        <v>0</v>
      </c>
      <c r="F55" s="170">
        <f t="shared" si="23"/>
        <v>25539.093397809236</v>
      </c>
      <c r="G55" s="170">
        <f t="shared" si="23"/>
        <v>51078.186795618472</v>
      </c>
      <c r="H55" s="170">
        <f t="shared" si="23"/>
        <v>79809.666868153858</v>
      </c>
      <c r="I55" s="170">
        <f t="shared" si="23"/>
        <v>106412.88915753848</v>
      </c>
      <c r="J55" s="170">
        <f t="shared" si="23"/>
        <v>133016.11144692311</v>
      </c>
      <c r="K55" s="170">
        <f t="shared" si="23"/>
        <v>159619.33373630772</v>
      </c>
      <c r="L55" s="170">
        <f t="shared" si="23"/>
        <v>198637.39309407186</v>
      </c>
      <c r="M55" s="170">
        <f t="shared" si="23"/>
        <v>227014.16353608211</v>
      </c>
      <c r="N55" s="170">
        <f t="shared" si="23"/>
        <v>255390.93397809236</v>
      </c>
      <c r="O55" s="170">
        <f t="shared" si="23"/>
        <v>266032.22289384622</v>
      </c>
      <c r="P55" s="170">
        <f t="shared" si="23"/>
        <v>292635.44518323086</v>
      </c>
      <c r="Q55" s="170">
        <f t="shared" si="23"/>
        <v>319238.66747261543</v>
      </c>
      <c r="R55" s="170">
        <f t="shared" si="23"/>
        <v>332008.21417152009</v>
      </c>
      <c r="S55" s="170">
        <f t="shared" si="23"/>
        <v>357547.30756932934</v>
      </c>
      <c r="T55" s="170">
        <f t="shared" si="23"/>
        <v>383086.40096713853</v>
      </c>
      <c r="U55" s="170">
        <f t="shared" si="23"/>
        <v>383086.40096713853</v>
      </c>
      <c r="V55" s="170">
        <f t="shared" si="23"/>
        <v>383086.40096713853</v>
      </c>
      <c r="W55" s="170">
        <f t="shared" si="23"/>
        <v>383086.40096713853</v>
      </c>
      <c r="X55" s="170">
        <f t="shared" si="23"/>
        <v>383086.40096713853</v>
      </c>
      <c r="Y55" s="170">
        <f t="shared" si="23"/>
        <v>383086.40096713853</v>
      </c>
      <c r="Z55" s="170">
        <f t="shared" si="23"/>
        <v>383086.40096713853</v>
      </c>
      <c r="AA55" s="170">
        <f t="shared" si="23"/>
        <v>383086.40096713853</v>
      </c>
      <c r="AB55" s="170">
        <f t="shared" si="23"/>
        <v>383086.40096713853</v>
      </c>
      <c r="AC55" s="170">
        <f t="shared" si="23"/>
        <v>383086.40096713853</v>
      </c>
      <c r="AD55" s="170">
        <f t="shared" si="23"/>
        <v>383086.40096713853</v>
      </c>
      <c r="AE55" s="170">
        <f t="shared" si="23"/>
        <v>383086.40096713853</v>
      </c>
      <c r="AF55" s="170">
        <f t="shared" si="23"/>
        <v>383086.40096713853</v>
      </c>
      <c r="AG55" s="170">
        <f t="shared" si="23"/>
        <v>372445.11205138464</v>
      </c>
      <c r="AH55" s="170">
        <f t="shared" si="23"/>
        <v>372445.11205138464</v>
      </c>
      <c r="AI55" s="170">
        <f t="shared" si="23"/>
        <v>372445.11205138464</v>
      </c>
      <c r="AJ55" s="170">
        <f t="shared" si="23"/>
        <v>372445.11205138464</v>
      </c>
      <c r="AK55" s="170">
        <f t="shared" si="23"/>
        <v>372445.11205138464</v>
      </c>
      <c r="AL55" s="170">
        <f t="shared" si="23"/>
        <v>372445.11205138464</v>
      </c>
      <c r="AM55" s="170">
        <f t="shared" si="23"/>
        <v>372445.11205138464</v>
      </c>
      <c r="AN55" s="170">
        <f t="shared" si="23"/>
        <v>372445.11205138464</v>
      </c>
      <c r="AO55" s="170">
        <f t="shared" si="23"/>
        <v>372445.11205138464</v>
      </c>
      <c r="AP55" s="170">
        <f t="shared" si="23"/>
        <v>372445.11205138464</v>
      </c>
      <c r="AQ55" s="170">
        <f t="shared" si="23"/>
        <v>372445.11205138464</v>
      </c>
      <c r="AR55" s="170">
        <f t="shared" si="23"/>
        <v>372445.11205138464</v>
      </c>
      <c r="AS55" s="170">
        <f t="shared" si="23"/>
        <v>372445.11205138464</v>
      </c>
      <c r="AT55" s="170">
        <f t="shared" si="23"/>
        <v>372445.11205138464</v>
      </c>
      <c r="AU55" s="170">
        <f t="shared" si="23"/>
        <v>372445.11205138464</v>
      </c>
      <c r="AV55" s="170">
        <f t="shared" si="23"/>
        <v>372445.11205138464</v>
      </c>
      <c r="AW55" s="170">
        <f t="shared" si="23"/>
        <v>372445.11205138464</v>
      </c>
      <c r="AX55" s="170">
        <f t="shared" si="23"/>
        <v>347615.43791462574</v>
      </c>
      <c r="AY55" s="170">
        <f t="shared" si="23"/>
        <v>322785.76377786673</v>
      </c>
      <c r="AZ55" s="170">
        <f t="shared" si="23"/>
        <v>297956.08964110777</v>
      </c>
      <c r="BA55" s="170">
        <f t="shared" si="23"/>
        <v>273126.41550434881</v>
      </c>
      <c r="BB55" s="170">
        <f t="shared" si="23"/>
        <v>248296.74136758977</v>
      </c>
      <c r="BC55" s="170">
        <f t="shared" si="23"/>
        <v>223467.06723083081</v>
      </c>
      <c r="BD55" s="170">
        <f t="shared" si="23"/>
        <v>198637.39309407183</v>
      </c>
      <c r="BE55" s="170">
        <f t="shared" si="23"/>
        <v>173807.71895731287</v>
      </c>
      <c r="BF55" s="170">
        <f t="shared" si="23"/>
        <v>148978.04482055389</v>
      </c>
      <c r="BG55" s="170">
        <f t="shared" si="23"/>
        <v>124148.37068379488</v>
      </c>
      <c r="BH55" s="170">
        <f t="shared" si="23"/>
        <v>99318.696547035914</v>
      </c>
      <c r="BI55" s="88"/>
    </row>
    <row r="56" spans="1:61" s="91" customFormat="1" x14ac:dyDescent="0.2">
      <c r="A56" s="99" t="s">
        <v>563</v>
      </c>
      <c r="B56" s="127"/>
      <c r="C56" s="92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f t="shared" ref="M56:BH56" si="24">M51</f>
        <v>170260.62265206157</v>
      </c>
      <c r="N56" s="92">
        <f t="shared" si="24"/>
        <v>191543.20048356926</v>
      </c>
      <c r="O56" s="92">
        <f t="shared" si="24"/>
        <v>212825.77831507695</v>
      </c>
      <c r="P56" s="92">
        <f t="shared" si="24"/>
        <v>234108.35614658467</v>
      </c>
      <c r="Q56" s="92">
        <f t="shared" si="24"/>
        <v>255390.93397809236</v>
      </c>
      <c r="R56" s="92">
        <f t="shared" si="24"/>
        <v>276673.51180960005</v>
      </c>
      <c r="S56" s="92">
        <f t="shared" si="24"/>
        <v>297956.08964110777</v>
      </c>
      <c r="T56" s="92">
        <f t="shared" si="24"/>
        <v>319238.66747261543</v>
      </c>
      <c r="U56" s="92">
        <f t="shared" si="24"/>
        <v>319238.66747261543</v>
      </c>
      <c r="V56" s="92">
        <f t="shared" si="24"/>
        <v>319238.66747261543</v>
      </c>
      <c r="W56" s="92">
        <f t="shared" si="24"/>
        <v>319238.66747261543</v>
      </c>
      <c r="X56" s="92">
        <f t="shared" si="24"/>
        <v>319238.66747261543</v>
      </c>
      <c r="Y56" s="92">
        <f t="shared" si="24"/>
        <v>319238.66747261543</v>
      </c>
      <c r="Z56" s="92">
        <f t="shared" si="24"/>
        <v>319238.66747261543</v>
      </c>
      <c r="AA56" s="92">
        <f t="shared" si="24"/>
        <v>319238.66747261543</v>
      </c>
      <c r="AB56" s="92">
        <f t="shared" si="24"/>
        <v>319238.66747261543</v>
      </c>
      <c r="AC56" s="92">
        <f t="shared" si="24"/>
        <v>319238.66747261543</v>
      </c>
      <c r="AD56" s="92">
        <f t="shared" si="24"/>
        <v>319238.66747261543</v>
      </c>
      <c r="AE56" s="92">
        <f t="shared" si="24"/>
        <v>319238.66747261543</v>
      </c>
      <c r="AF56" s="92">
        <f t="shared" si="24"/>
        <v>319238.66747261543</v>
      </c>
      <c r="AG56" s="92">
        <f t="shared" si="24"/>
        <v>319238.66747261543</v>
      </c>
      <c r="AH56" s="92">
        <f t="shared" si="24"/>
        <v>319238.66747261543</v>
      </c>
      <c r="AI56" s="92">
        <f t="shared" si="24"/>
        <v>319238.66747261543</v>
      </c>
      <c r="AJ56" s="92">
        <f t="shared" si="24"/>
        <v>319238.66747261543</v>
      </c>
      <c r="AK56" s="92">
        <f t="shared" si="24"/>
        <v>319238.66747261543</v>
      </c>
      <c r="AL56" s="92">
        <f t="shared" si="24"/>
        <v>319238.66747261543</v>
      </c>
      <c r="AM56" s="92">
        <f t="shared" si="24"/>
        <v>319238.66747261543</v>
      </c>
      <c r="AN56" s="92">
        <f t="shared" si="24"/>
        <v>319238.66747261543</v>
      </c>
      <c r="AO56" s="92">
        <f t="shared" si="24"/>
        <v>319238.66747261543</v>
      </c>
      <c r="AP56" s="92">
        <f t="shared" si="24"/>
        <v>319238.66747261543</v>
      </c>
      <c r="AQ56" s="92">
        <f t="shared" si="24"/>
        <v>319238.66747261543</v>
      </c>
      <c r="AR56" s="92">
        <f t="shared" si="24"/>
        <v>319238.66747261543</v>
      </c>
      <c r="AS56" s="92">
        <f t="shared" si="24"/>
        <v>319238.66747261543</v>
      </c>
      <c r="AT56" s="92">
        <f t="shared" si="24"/>
        <v>319238.66747261543</v>
      </c>
      <c r="AU56" s="92">
        <f t="shared" si="24"/>
        <v>319238.66747261543</v>
      </c>
      <c r="AV56" s="92">
        <f t="shared" si="24"/>
        <v>319238.66747261543</v>
      </c>
      <c r="AW56" s="92">
        <f t="shared" si="24"/>
        <v>319238.66747261543</v>
      </c>
      <c r="AX56" s="92">
        <f t="shared" si="24"/>
        <v>297956.08964110777</v>
      </c>
      <c r="AY56" s="92">
        <f t="shared" si="24"/>
        <v>276673.51180960005</v>
      </c>
      <c r="AZ56" s="92">
        <f t="shared" si="24"/>
        <v>255390.93397809236</v>
      </c>
      <c r="BA56" s="92">
        <f t="shared" si="24"/>
        <v>234108.35614658467</v>
      </c>
      <c r="BB56" s="92">
        <f t="shared" si="24"/>
        <v>212825.77831507695</v>
      </c>
      <c r="BC56" s="92">
        <f t="shared" si="24"/>
        <v>191543.20048356926</v>
      </c>
      <c r="BD56" s="92">
        <f t="shared" si="24"/>
        <v>170260.62265206157</v>
      </c>
      <c r="BE56" s="92">
        <f t="shared" si="24"/>
        <v>148978.04482055389</v>
      </c>
      <c r="BF56" s="92">
        <f t="shared" si="24"/>
        <v>127695.46698904618</v>
      </c>
      <c r="BG56" s="92">
        <f t="shared" si="24"/>
        <v>106412.88915753848</v>
      </c>
      <c r="BH56" s="92">
        <f t="shared" si="24"/>
        <v>85130.311326030787</v>
      </c>
      <c r="BI56" s="92"/>
    </row>
    <row r="57" spans="1:61" s="91" customFormat="1" hidden="1" x14ac:dyDescent="0.2">
      <c r="A57" s="99" t="s">
        <v>565</v>
      </c>
      <c r="B57" s="157">
        <v>0</v>
      </c>
      <c r="C57" s="162">
        <v>600</v>
      </c>
      <c r="D57" s="96">
        <f t="shared" ref="D57:BH57" si="25" xml:space="preserve"> C57 + $B57</f>
        <v>600</v>
      </c>
      <c r="E57" s="96">
        <f t="shared" si="25"/>
        <v>600</v>
      </c>
      <c r="F57" s="96">
        <f t="shared" si="25"/>
        <v>600</v>
      </c>
      <c r="G57" s="96">
        <f t="shared" si="25"/>
        <v>600</v>
      </c>
      <c r="H57" s="96">
        <f t="shared" si="25"/>
        <v>600</v>
      </c>
      <c r="I57" s="96">
        <f t="shared" si="25"/>
        <v>600</v>
      </c>
      <c r="J57" s="96">
        <f t="shared" si="25"/>
        <v>600</v>
      </c>
      <c r="K57" s="96">
        <f t="shared" si="25"/>
        <v>600</v>
      </c>
      <c r="L57" s="96">
        <f t="shared" si="25"/>
        <v>600</v>
      </c>
      <c r="M57" s="96">
        <f t="shared" si="25"/>
        <v>600</v>
      </c>
      <c r="N57" s="96">
        <f t="shared" si="25"/>
        <v>600</v>
      </c>
      <c r="O57" s="96">
        <f t="shared" si="25"/>
        <v>600</v>
      </c>
      <c r="P57" s="96">
        <f t="shared" si="25"/>
        <v>600</v>
      </c>
      <c r="Q57" s="96">
        <f t="shared" si="25"/>
        <v>600</v>
      </c>
      <c r="R57" s="96">
        <f t="shared" si="25"/>
        <v>600</v>
      </c>
      <c r="S57" s="96">
        <f t="shared" si="25"/>
        <v>600</v>
      </c>
      <c r="T57" s="96">
        <f t="shared" si="25"/>
        <v>600</v>
      </c>
      <c r="U57" s="96">
        <f t="shared" si="25"/>
        <v>600</v>
      </c>
      <c r="V57" s="96">
        <f t="shared" si="25"/>
        <v>600</v>
      </c>
      <c r="W57" s="96">
        <f t="shared" si="25"/>
        <v>600</v>
      </c>
      <c r="X57" s="96">
        <f t="shared" si="25"/>
        <v>600</v>
      </c>
      <c r="Y57" s="96">
        <f t="shared" si="25"/>
        <v>600</v>
      </c>
      <c r="Z57" s="96">
        <f t="shared" si="25"/>
        <v>600</v>
      </c>
      <c r="AA57" s="96">
        <f t="shared" si="25"/>
        <v>600</v>
      </c>
      <c r="AB57" s="96">
        <f t="shared" si="25"/>
        <v>600</v>
      </c>
      <c r="AC57" s="96">
        <f t="shared" si="25"/>
        <v>600</v>
      </c>
      <c r="AD57" s="96">
        <f t="shared" si="25"/>
        <v>600</v>
      </c>
      <c r="AE57" s="96">
        <f t="shared" si="25"/>
        <v>600</v>
      </c>
      <c r="AF57" s="96">
        <f t="shared" si="25"/>
        <v>600</v>
      </c>
      <c r="AG57" s="96">
        <f t="shared" si="25"/>
        <v>600</v>
      </c>
      <c r="AH57" s="96">
        <f t="shared" si="25"/>
        <v>600</v>
      </c>
      <c r="AI57" s="96">
        <f t="shared" si="25"/>
        <v>600</v>
      </c>
      <c r="AJ57" s="96">
        <f t="shared" si="25"/>
        <v>600</v>
      </c>
      <c r="AK57" s="96">
        <f t="shared" si="25"/>
        <v>600</v>
      </c>
      <c r="AL57" s="96">
        <f t="shared" si="25"/>
        <v>600</v>
      </c>
      <c r="AM57" s="96">
        <f t="shared" si="25"/>
        <v>600</v>
      </c>
      <c r="AN57" s="96">
        <f t="shared" si="25"/>
        <v>600</v>
      </c>
      <c r="AO57" s="96">
        <f t="shared" si="25"/>
        <v>600</v>
      </c>
      <c r="AP57" s="96">
        <f t="shared" si="25"/>
        <v>600</v>
      </c>
      <c r="AQ57" s="96">
        <f t="shared" si="25"/>
        <v>600</v>
      </c>
      <c r="AR57" s="96">
        <f t="shared" si="25"/>
        <v>600</v>
      </c>
      <c r="AS57" s="96">
        <f t="shared" si="25"/>
        <v>600</v>
      </c>
      <c r="AT57" s="96">
        <f t="shared" si="25"/>
        <v>600</v>
      </c>
      <c r="AU57" s="96">
        <f t="shared" si="25"/>
        <v>600</v>
      </c>
      <c r="AV57" s="96">
        <f t="shared" si="25"/>
        <v>600</v>
      </c>
      <c r="AW57" s="96">
        <f t="shared" si="25"/>
        <v>600</v>
      </c>
      <c r="AX57" s="96">
        <f t="shared" si="25"/>
        <v>600</v>
      </c>
      <c r="AY57" s="96">
        <f t="shared" si="25"/>
        <v>600</v>
      </c>
      <c r="AZ57" s="96">
        <f t="shared" si="25"/>
        <v>600</v>
      </c>
      <c r="BA57" s="96">
        <f t="shared" si="25"/>
        <v>600</v>
      </c>
      <c r="BB57" s="96">
        <f t="shared" si="25"/>
        <v>600</v>
      </c>
      <c r="BC57" s="96">
        <f t="shared" si="25"/>
        <v>600</v>
      </c>
      <c r="BD57" s="96">
        <f t="shared" si="25"/>
        <v>600</v>
      </c>
      <c r="BE57" s="96">
        <f t="shared" si="25"/>
        <v>600</v>
      </c>
      <c r="BF57" s="96">
        <f t="shared" si="25"/>
        <v>600</v>
      </c>
      <c r="BG57" s="96">
        <f t="shared" si="25"/>
        <v>600</v>
      </c>
      <c r="BH57" s="96">
        <f t="shared" si="25"/>
        <v>600</v>
      </c>
      <c r="BI57" s="92"/>
    </row>
    <row r="58" spans="1:61" s="72" customFormat="1" hidden="1" x14ac:dyDescent="0.2">
      <c r="A58" s="158" t="s">
        <v>567</v>
      </c>
      <c r="B58" s="159"/>
      <c r="C58" s="97">
        <f xml:space="preserve"> C56 * C57</f>
        <v>0</v>
      </c>
      <c r="D58" s="97">
        <f t="shared" ref="D58:BH58" si="26" xml:space="preserve"> D56 * D57</f>
        <v>0</v>
      </c>
      <c r="E58" s="97">
        <f t="shared" si="26"/>
        <v>0</v>
      </c>
      <c r="F58" s="97">
        <f t="shared" si="26"/>
        <v>0</v>
      </c>
      <c r="G58" s="97">
        <f t="shared" si="26"/>
        <v>0</v>
      </c>
      <c r="H58" s="97">
        <f t="shared" si="26"/>
        <v>0</v>
      </c>
      <c r="I58" s="97">
        <f t="shared" si="26"/>
        <v>0</v>
      </c>
      <c r="J58" s="97">
        <f t="shared" si="26"/>
        <v>0</v>
      </c>
      <c r="K58" s="97">
        <f t="shared" si="26"/>
        <v>0</v>
      </c>
      <c r="L58" s="97">
        <f t="shared" si="26"/>
        <v>0</v>
      </c>
      <c r="M58" s="97">
        <f t="shared" si="26"/>
        <v>102156373.59123695</v>
      </c>
      <c r="N58" s="97">
        <f t="shared" si="26"/>
        <v>114925920.29014155</v>
      </c>
      <c r="O58" s="97">
        <f t="shared" si="26"/>
        <v>127695466.98904617</v>
      </c>
      <c r="P58" s="97">
        <f t="shared" si="26"/>
        <v>140465013.68795079</v>
      </c>
      <c r="Q58" s="97">
        <f t="shared" si="26"/>
        <v>153234560.38685542</v>
      </c>
      <c r="R58" s="97">
        <f t="shared" si="26"/>
        <v>166004107.08576003</v>
      </c>
      <c r="S58" s="97">
        <f t="shared" si="26"/>
        <v>178773653.78466466</v>
      </c>
      <c r="T58" s="97">
        <f t="shared" si="26"/>
        <v>191543200.48356926</v>
      </c>
      <c r="U58" s="97">
        <f t="shared" si="26"/>
        <v>191543200.48356926</v>
      </c>
      <c r="V58" s="97">
        <f t="shared" si="26"/>
        <v>191543200.48356926</v>
      </c>
      <c r="W58" s="97">
        <f t="shared" si="26"/>
        <v>191543200.48356926</v>
      </c>
      <c r="X58" s="97">
        <f t="shared" si="26"/>
        <v>191543200.48356926</v>
      </c>
      <c r="Y58" s="97">
        <f t="shared" si="26"/>
        <v>191543200.48356926</v>
      </c>
      <c r="Z58" s="97">
        <f t="shared" si="26"/>
        <v>191543200.48356926</v>
      </c>
      <c r="AA58" s="97">
        <f t="shared" si="26"/>
        <v>191543200.48356926</v>
      </c>
      <c r="AB58" s="97">
        <f t="shared" si="26"/>
        <v>191543200.48356926</v>
      </c>
      <c r="AC58" s="97">
        <f t="shared" si="26"/>
        <v>191543200.48356926</v>
      </c>
      <c r="AD58" s="97">
        <f t="shared" si="26"/>
        <v>191543200.48356926</v>
      </c>
      <c r="AE58" s="97">
        <f t="shared" si="26"/>
        <v>191543200.48356926</v>
      </c>
      <c r="AF58" s="97">
        <f t="shared" si="26"/>
        <v>191543200.48356926</v>
      </c>
      <c r="AG58" s="97">
        <f t="shared" si="26"/>
        <v>191543200.48356926</v>
      </c>
      <c r="AH58" s="97">
        <f t="shared" si="26"/>
        <v>191543200.48356926</v>
      </c>
      <c r="AI58" s="97">
        <f t="shared" si="26"/>
        <v>191543200.48356926</v>
      </c>
      <c r="AJ58" s="97">
        <f t="shared" si="26"/>
        <v>191543200.48356926</v>
      </c>
      <c r="AK58" s="97">
        <f t="shared" si="26"/>
        <v>191543200.48356926</v>
      </c>
      <c r="AL58" s="97">
        <f t="shared" si="26"/>
        <v>191543200.48356926</v>
      </c>
      <c r="AM58" s="97">
        <f t="shared" si="26"/>
        <v>191543200.48356926</v>
      </c>
      <c r="AN58" s="97">
        <f t="shared" si="26"/>
        <v>191543200.48356926</v>
      </c>
      <c r="AO58" s="97">
        <f t="shared" si="26"/>
        <v>191543200.48356926</v>
      </c>
      <c r="AP58" s="97">
        <f t="shared" si="26"/>
        <v>191543200.48356926</v>
      </c>
      <c r="AQ58" s="97">
        <f t="shared" si="26"/>
        <v>191543200.48356926</v>
      </c>
      <c r="AR58" s="97">
        <f t="shared" si="26"/>
        <v>191543200.48356926</v>
      </c>
      <c r="AS58" s="97">
        <f t="shared" si="26"/>
        <v>191543200.48356926</v>
      </c>
      <c r="AT58" s="97">
        <f t="shared" si="26"/>
        <v>191543200.48356926</v>
      </c>
      <c r="AU58" s="97">
        <f t="shared" si="26"/>
        <v>191543200.48356926</v>
      </c>
      <c r="AV58" s="97">
        <f t="shared" si="26"/>
        <v>191543200.48356926</v>
      </c>
      <c r="AW58" s="97">
        <f t="shared" si="26"/>
        <v>191543200.48356926</v>
      </c>
      <c r="AX58" s="97">
        <f t="shared" si="26"/>
        <v>178773653.78466466</v>
      </c>
      <c r="AY58" s="97">
        <f t="shared" si="26"/>
        <v>166004107.08576003</v>
      </c>
      <c r="AZ58" s="97">
        <f t="shared" si="26"/>
        <v>153234560.38685542</v>
      </c>
      <c r="BA58" s="97">
        <f t="shared" si="26"/>
        <v>140465013.68795079</v>
      </c>
      <c r="BB58" s="97">
        <f t="shared" si="26"/>
        <v>127695466.98904617</v>
      </c>
      <c r="BC58" s="97">
        <f t="shared" si="26"/>
        <v>114925920.29014155</v>
      </c>
      <c r="BD58" s="97">
        <f t="shared" si="26"/>
        <v>102156373.59123695</v>
      </c>
      <c r="BE58" s="97">
        <f t="shared" si="26"/>
        <v>89386826.89233233</v>
      </c>
      <c r="BF58" s="97">
        <f t="shared" si="26"/>
        <v>76617280.193427712</v>
      </c>
      <c r="BG58" s="97">
        <f t="shared" si="26"/>
        <v>63847733.494523086</v>
      </c>
      <c r="BH58" s="97">
        <f t="shared" si="26"/>
        <v>51078186.795618474</v>
      </c>
      <c r="BI58" s="81"/>
    </row>
    <row r="59" spans="1:61" x14ac:dyDescent="0.2">
      <c r="A59" s="6"/>
      <c r="B59" s="12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1:61" hidden="1" x14ac:dyDescent="0.2">
      <c r="A60" t="s">
        <v>20</v>
      </c>
      <c r="B60" s="31"/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</row>
    <row r="61" spans="1:61" hidden="1" x14ac:dyDescent="0.2">
      <c r="A61" t="s">
        <v>21</v>
      </c>
      <c r="B61" s="31"/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</row>
    <row r="62" spans="1:61" hidden="1" x14ac:dyDescent="0.2">
      <c r="A62" t="s">
        <v>22</v>
      </c>
      <c r="B62" s="31"/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</row>
    <row r="63" spans="1:61" s="74" customFormat="1" hidden="1" x14ac:dyDescent="0.2">
      <c r="A63" s="74" t="s">
        <v>23</v>
      </c>
      <c r="B63" s="121"/>
      <c r="C63" s="75">
        <f>C61*'IID Cost Basis 2013'!$F$79</f>
        <v>0</v>
      </c>
      <c r="D63" s="75">
        <f>D61*'IID Cost Basis 2013'!$F$79</f>
        <v>0</v>
      </c>
      <c r="E63" s="75">
        <f>E61*'IID Cost Basis 2013'!$F$79</f>
        <v>0</v>
      </c>
      <c r="F63" s="75">
        <f>F61*'IID Cost Basis 2013'!$F$79</f>
        <v>0</v>
      </c>
      <c r="G63" s="75">
        <f>G61*'IID Cost Basis 2013'!$F$79</f>
        <v>0</v>
      </c>
      <c r="H63" s="75">
        <f>H61*'IID Cost Basis 2013'!$F$79</f>
        <v>0</v>
      </c>
      <c r="I63" s="75">
        <f>I61*'IID Cost Basis 2013'!$F$79</f>
        <v>0</v>
      </c>
      <c r="J63" s="75">
        <f>J61*'IID Cost Basis 2013'!$F$79</f>
        <v>0</v>
      </c>
      <c r="K63" s="75">
        <f>K61*'IID Cost Basis 2013'!$F$79</f>
        <v>0</v>
      </c>
      <c r="L63" s="75">
        <f>L61*'IID Cost Basis 2013'!$F$79</f>
        <v>0</v>
      </c>
      <c r="M63" s="75">
        <f>M61*'IID Cost Basis 2013'!$F$79</f>
        <v>0</v>
      </c>
      <c r="N63" s="75">
        <f>N61*'IID Cost Basis 2013'!$F$79</f>
        <v>0</v>
      </c>
      <c r="O63" s="75">
        <f>O61*'IID Cost Basis 2013'!$F$79</f>
        <v>0</v>
      </c>
      <c r="P63" s="75">
        <f>P61*'IID Cost Basis 2013'!$F$79</f>
        <v>0</v>
      </c>
      <c r="Q63" s="75">
        <f>Q61*'IID Cost Basis 2013'!$F$79</f>
        <v>0</v>
      </c>
      <c r="R63" s="75">
        <f>R61*'IID Cost Basis 2013'!$F$79</f>
        <v>0</v>
      </c>
      <c r="S63" s="75">
        <f>S61*'IID Cost Basis 2013'!$F$79</f>
        <v>0</v>
      </c>
      <c r="T63" s="75">
        <f>T61*'IID Cost Basis 2013'!$F$79</f>
        <v>0</v>
      </c>
      <c r="U63" s="75">
        <f>U61*'IID Cost Basis 2013'!$F$79</f>
        <v>0</v>
      </c>
      <c r="V63" s="75">
        <f>V61*'IID Cost Basis 2013'!$F$79</f>
        <v>0</v>
      </c>
      <c r="W63" s="75">
        <f>W61*'IID Cost Basis 2013'!$F$79</f>
        <v>0</v>
      </c>
      <c r="X63" s="75">
        <f>X61*'IID Cost Basis 2013'!$F$79</f>
        <v>0</v>
      </c>
      <c r="Y63" s="75">
        <f>Y61*'IID Cost Basis 2013'!$F$79</f>
        <v>0</v>
      </c>
      <c r="Z63" s="75">
        <f>Z61*'IID Cost Basis 2013'!$F$79</f>
        <v>0</v>
      </c>
      <c r="AA63" s="75">
        <f>AA61*'IID Cost Basis 2013'!$F$79</f>
        <v>0</v>
      </c>
      <c r="AB63" s="75">
        <f>AB61*'IID Cost Basis 2013'!$F$79</f>
        <v>0</v>
      </c>
      <c r="AC63" s="75">
        <f>AC61*'IID Cost Basis 2013'!$F$79</f>
        <v>0</v>
      </c>
      <c r="AD63" s="75">
        <f>AD61*'IID Cost Basis 2013'!$F$79</f>
        <v>0</v>
      </c>
      <c r="AE63" s="75">
        <f>AE61*'IID Cost Basis 2013'!$F$79</f>
        <v>0</v>
      </c>
      <c r="AF63" s="75">
        <f>AF61*'IID Cost Basis 2013'!$F$79</f>
        <v>0</v>
      </c>
      <c r="AG63" s="75">
        <f>AG61*'IID Cost Basis 2013'!$F$79</f>
        <v>0</v>
      </c>
      <c r="AH63" s="75">
        <f>AH61*'IID Cost Basis 2013'!$F$79</f>
        <v>0</v>
      </c>
      <c r="AI63" s="75">
        <f>AI61*'IID Cost Basis 2013'!$F$79</f>
        <v>0</v>
      </c>
      <c r="AJ63" s="75">
        <f>AJ61*'IID Cost Basis 2013'!$F$79</f>
        <v>0</v>
      </c>
      <c r="AK63" s="75">
        <f>AK61*'IID Cost Basis 2013'!$F$79</f>
        <v>0</v>
      </c>
      <c r="AL63" s="75">
        <f>AL61*'IID Cost Basis 2013'!$F$79</f>
        <v>0</v>
      </c>
      <c r="AM63" s="75">
        <f>AM61*'IID Cost Basis 2013'!$F$79</f>
        <v>0</v>
      </c>
      <c r="AN63" s="75">
        <f>AN61*'IID Cost Basis 2013'!$F$79</f>
        <v>0</v>
      </c>
      <c r="AO63" s="75">
        <f>AO61*'IID Cost Basis 2013'!$F$79</f>
        <v>0</v>
      </c>
      <c r="AP63" s="75">
        <f>AP61*'IID Cost Basis 2013'!$F$79</f>
        <v>0</v>
      </c>
      <c r="AQ63" s="75">
        <f>AQ61*'IID Cost Basis 2013'!$F$79</f>
        <v>0</v>
      </c>
      <c r="AR63" s="75">
        <f>AR61*'IID Cost Basis 2013'!$F$79</f>
        <v>0</v>
      </c>
      <c r="AS63" s="75">
        <f>AS61*'IID Cost Basis 2013'!$F$79</f>
        <v>0</v>
      </c>
      <c r="AT63" s="75">
        <f>AT61*'IID Cost Basis 2013'!$F$79</f>
        <v>0</v>
      </c>
      <c r="AU63" s="75">
        <f>AU61*'IID Cost Basis 2013'!$F$79</f>
        <v>0</v>
      </c>
      <c r="AV63" s="75">
        <f>AV61*'IID Cost Basis 2013'!$F$79</f>
        <v>0</v>
      </c>
      <c r="AW63" s="75">
        <f>AW61*'IID Cost Basis 2013'!$F$79</f>
        <v>0</v>
      </c>
      <c r="AX63" s="75">
        <f>AX61*'IID Cost Basis 2013'!$F$79</f>
        <v>0</v>
      </c>
      <c r="AY63" s="75">
        <f>AY61*'IID Cost Basis 2013'!$F$79</f>
        <v>0</v>
      </c>
      <c r="AZ63" s="75">
        <f>AZ61*'IID Cost Basis 2013'!$F$79</f>
        <v>0</v>
      </c>
      <c r="BA63" s="75">
        <f>BA61*'IID Cost Basis 2013'!$F$79</f>
        <v>0</v>
      </c>
      <c r="BB63" s="75">
        <f>BB61*'IID Cost Basis 2013'!$F$79</f>
        <v>0</v>
      </c>
      <c r="BC63" s="75">
        <f>BC61*'IID Cost Basis 2013'!$F$79</f>
        <v>0</v>
      </c>
      <c r="BD63" s="75">
        <f>BD61*'IID Cost Basis 2013'!$F$79</f>
        <v>0</v>
      </c>
      <c r="BE63" s="75">
        <f>BE61*'IID Cost Basis 2013'!$F$79</f>
        <v>0</v>
      </c>
      <c r="BF63" s="75">
        <f>BF61*'IID Cost Basis 2013'!$F$79</f>
        <v>0</v>
      </c>
      <c r="BG63" s="75">
        <f>BG61*'IID Cost Basis 2013'!$F$79</f>
        <v>0</v>
      </c>
      <c r="BH63" s="75">
        <f>BH61*'IID Cost Basis 2013'!$F$79</f>
        <v>0</v>
      </c>
      <c r="BI63" s="75"/>
    </row>
    <row r="64" spans="1:61" s="74" customFormat="1" hidden="1" x14ac:dyDescent="0.2">
      <c r="A64" s="74" t="s">
        <v>24</v>
      </c>
      <c r="B64" s="121"/>
      <c r="C64" s="75">
        <f>C62*('IID Cost Basis 2013'!$F$96+'IID Cost Basis 2013'!$F$97)</f>
        <v>0</v>
      </c>
      <c r="D64" s="75">
        <f>D62*('IID Cost Basis 2013'!$F$96+'IID Cost Basis 2013'!$F$97)</f>
        <v>0</v>
      </c>
      <c r="E64" s="75">
        <f>E62*('IID Cost Basis 2013'!$F$96+'IID Cost Basis 2013'!$F$97)</f>
        <v>0</v>
      </c>
      <c r="F64" s="75">
        <f>F62*('IID Cost Basis 2013'!$F$96+'IID Cost Basis 2013'!$F$97)</f>
        <v>0</v>
      </c>
      <c r="G64" s="75">
        <f>G62*('IID Cost Basis 2013'!$F$96+'IID Cost Basis 2013'!$F$97)</f>
        <v>0</v>
      </c>
      <c r="H64" s="75">
        <f>H62*('IID Cost Basis 2013'!$F$96+'IID Cost Basis 2013'!$F$97)</f>
        <v>0</v>
      </c>
      <c r="I64" s="75">
        <f>I62*('IID Cost Basis 2013'!$F$96+'IID Cost Basis 2013'!$F$97)</f>
        <v>0</v>
      </c>
      <c r="J64" s="75">
        <f>J62*('IID Cost Basis 2013'!$F$96+'IID Cost Basis 2013'!$F$97)</f>
        <v>0</v>
      </c>
      <c r="K64" s="75">
        <f>K62*('IID Cost Basis 2013'!$F$96+'IID Cost Basis 2013'!$F$97)</f>
        <v>0</v>
      </c>
      <c r="L64" s="75">
        <f>L62*('IID Cost Basis 2013'!$F$96+'IID Cost Basis 2013'!$F$97)</f>
        <v>0</v>
      </c>
      <c r="M64" s="75">
        <f>M62*('IID Cost Basis 2013'!$F$96+'IID Cost Basis 2013'!$F$97)</f>
        <v>0</v>
      </c>
      <c r="N64" s="75">
        <f>N62*('IID Cost Basis 2013'!$F$96+'IID Cost Basis 2013'!$F$97)</f>
        <v>0</v>
      </c>
      <c r="O64" s="75">
        <f>O62*('IID Cost Basis 2013'!$F$96+'IID Cost Basis 2013'!$F$97)</f>
        <v>0</v>
      </c>
      <c r="P64" s="75">
        <f>P62*('IID Cost Basis 2013'!$F$96+'IID Cost Basis 2013'!$F$97)</f>
        <v>0</v>
      </c>
      <c r="Q64" s="75">
        <f>Q62*('IID Cost Basis 2013'!$F$96+'IID Cost Basis 2013'!$F$97)</f>
        <v>0</v>
      </c>
      <c r="R64" s="75">
        <f>R62*('IID Cost Basis 2013'!$F$96+'IID Cost Basis 2013'!$F$97)</f>
        <v>0</v>
      </c>
      <c r="S64" s="75">
        <f>S62*('IID Cost Basis 2013'!$F$96+'IID Cost Basis 2013'!$F$97)</f>
        <v>0</v>
      </c>
      <c r="T64" s="75">
        <f>T62*('IID Cost Basis 2013'!$F$96+'IID Cost Basis 2013'!$F$97)</f>
        <v>0</v>
      </c>
      <c r="U64" s="75">
        <f>U62*('IID Cost Basis 2013'!$F$96+'IID Cost Basis 2013'!$F$97)</f>
        <v>0</v>
      </c>
      <c r="V64" s="75">
        <f>V62*('IID Cost Basis 2013'!$F$96+'IID Cost Basis 2013'!$F$97)</f>
        <v>0</v>
      </c>
      <c r="W64" s="75">
        <f>W62*('IID Cost Basis 2013'!$F$96+'IID Cost Basis 2013'!$F$97)</f>
        <v>0</v>
      </c>
      <c r="X64" s="75">
        <f>X62*('IID Cost Basis 2013'!$F$96+'IID Cost Basis 2013'!$F$97)</f>
        <v>0</v>
      </c>
      <c r="Y64" s="75">
        <f>Y62*('IID Cost Basis 2013'!$F$96+'IID Cost Basis 2013'!$F$97)</f>
        <v>0</v>
      </c>
      <c r="Z64" s="75">
        <f>Z62*('IID Cost Basis 2013'!$F$96+'IID Cost Basis 2013'!$F$97)</f>
        <v>0</v>
      </c>
      <c r="AA64" s="75">
        <f>AA62*('IID Cost Basis 2013'!$F$96+'IID Cost Basis 2013'!$F$97)</f>
        <v>0</v>
      </c>
      <c r="AB64" s="75">
        <f>AB62*('IID Cost Basis 2013'!$F$96+'IID Cost Basis 2013'!$F$97)</f>
        <v>0</v>
      </c>
      <c r="AC64" s="75">
        <f>AC62*('IID Cost Basis 2013'!$F$96+'IID Cost Basis 2013'!$F$97)</f>
        <v>0</v>
      </c>
      <c r="AD64" s="75">
        <f>AD62*('IID Cost Basis 2013'!$F$96+'IID Cost Basis 2013'!$F$97)</f>
        <v>0</v>
      </c>
      <c r="AE64" s="75">
        <f>AE62*('IID Cost Basis 2013'!$F$96+'IID Cost Basis 2013'!$F$97)</f>
        <v>0</v>
      </c>
      <c r="AF64" s="75">
        <f>AF62*('IID Cost Basis 2013'!$F$96+'IID Cost Basis 2013'!$F$97)</f>
        <v>0</v>
      </c>
      <c r="AG64" s="75">
        <f>AG62*('IID Cost Basis 2013'!$F$96+'IID Cost Basis 2013'!$F$97)</f>
        <v>0</v>
      </c>
      <c r="AH64" s="75">
        <f>AH62*('IID Cost Basis 2013'!$F$96+'IID Cost Basis 2013'!$F$97)</f>
        <v>0</v>
      </c>
      <c r="AI64" s="75">
        <f>AI62*('IID Cost Basis 2013'!$F$96+'IID Cost Basis 2013'!$F$97)</f>
        <v>0</v>
      </c>
      <c r="AJ64" s="75">
        <f>AJ62*('IID Cost Basis 2013'!$F$96+'IID Cost Basis 2013'!$F$97)</f>
        <v>0</v>
      </c>
      <c r="AK64" s="75">
        <f>AK62*('IID Cost Basis 2013'!$F$96+'IID Cost Basis 2013'!$F$97)</f>
        <v>0</v>
      </c>
      <c r="AL64" s="75">
        <f>AL62*('IID Cost Basis 2013'!$F$96+'IID Cost Basis 2013'!$F$97)</f>
        <v>0</v>
      </c>
      <c r="AM64" s="75">
        <f>AM62*('IID Cost Basis 2013'!$F$96+'IID Cost Basis 2013'!$F$97)</f>
        <v>0</v>
      </c>
      <c r="AN64" s="75">
        <f>AN62*('IID Cost Basis 2013'!$F$96+'IID Cost Basis 2013'!$F$97)</f>
        <v>0</v>
      </c>
      <c r="AO64" s="75">
        <f>AO62*('IID Cost Basis 2013'!$F$96+'IID Cost Basis 2013'!$F$97)</f>
        <v>0</v>
      </c>
      <c r="AP64" s="75">
        <f>AP62*('IID Cost Basis 2013'!$F$96+'IID Cost Basis 2013'!$F$97)</f>
        <v>0</v>
      </c>
      <c r="AQ64" s="75">
        <f>AQ62*('IID Cost Basis 2013'!$F$96+'IID Cost Basis 2013'!$F$97)</f>
        <v>0</v>
      </c>
      <c r="AR64" s="75">
        <f>AR62*('IID Cost Basis 2013'!$F$96+'IID Cost Basis 2013'!$F$97)</f>
        <v>0</v>
      </c>
      <c r="AS64" s="75">
        <f>AS62*('IID Cost Basis 2013'!$F$96+'IID Cost Basis 2013'!$F$97)</f>
        <v>0</v>
      </c>
      <c r="AT64" s="75">
        <f>AT62*('IID Cost Basis 2013'!$F$96+'IID Cost Basis 2013'!$F$97)</f>
        <v>0</v>
      </c>
      <c r="AU64" s="75">
        <f>AU62*('IID Cost Basis 2013'!$F$96+'IID Cost Basis 2013'!$F$97)</f>
        <v>0</v>
      </c>
      <c r="AV64" s="75">
        <f>AV62*('IID Cost Basis 2013'!$F$96+'IID Cost Basis 2013'!$F$97)</f>
        <v>0</v>
      </c>
      <c r="AW64" s="75">
        <f>AW62*('IID Cost Basis 2013'!$F$96+'IID Cost Basis 2013'!$F$97)</f>
        <v>0</v>
      </c>
      <c r="AX64" s="75">
        <f>AX62*('IID Cost Basis 2013'!$F$96+'IID Cost Basis 2013'!$F$97)</f>
        <v>0</v>
      </c>
      <c r="AY64" s="75">
        <f>AY62*('IID Cost Basis 2013'!$F$96+'IID Cost Basis 2013'!$F$97)</f>
        <v>0</v>
      </c>
      <c r="AZ64" s="75">
        <f>AZ62*('IID Cost Basis 2013'!$F$96+'IID Cost Basis 2013'!$F$97)</f>
        <v>0</v>
      </c>
      <c r="BA64" s="75">
        <f>BA62*('IID Cost Basis 2013'!$F$96+'IID Cost Basis 2013'!$F$97)</f>
        <v>0</v>
      </c>
      <c r="BB64" s="75">
        <f>BB62*('IID Cost Basis 2013'!$F$96+'IID Cost Basis 2013'!$F$97)</f>
        <v>0</v>
      </c>
      <c r="BC64" s="75">
        <f>BC62*('IID Cost Basis 2013'!$F$96+'IID Cost Basis 2013'!$F$97)</f>
        <v>0</v>
      </c>
      <c r="BD64" s="75">
        <f>BD62*('IID Cost Basis 2013'!$F$96+'IID Cost Basis 2013'!$F$97)</f>
        <v>0</v>
      </c>
      <c r="BE64" s="75">
        <f>BE62*('IID Cost Basis 2013'!$F$96+'IID Cost Basis 2013'!$F$97)</f>
        <v>0</v>
      </c>
      <c r="BF64" s="75">
        <f>BF62*('IID Cost Basis 2013'!$F$96+'IID Cost Basis 2013'!$F$97)</f>
        <v>0</v>
      </c>
      <c r="BG64" s="75">
        <f>BG62*('IID Cost Basis 2013'!$F$96+'IID Cost Basis 2013'!$F$97)</f>
        <v>0</v>
      </c>
      <c r="BH64" s="75">
        <f>BH62*('IID Cost Basis 2013'!$F$96+'IID Cost Basis 2013'!$F$97)</f>
        <v>0</v>
      </c>
      <c r="BI64" s="75"/>
    </row>
    <row r="65" spans="1:61" hidden="1" x14ac:dyDescent="0.2">
      <c r="A65" t="s">
        <v>25</v>
      </c>
      <c r="B65" s="31"/>
      <c r="C65" s="5">
        <f>C62*'IID Cost Basis 2013'!$F$102</f>
        <v>0</v>
      </c>
      <c r="D65" s="5">
        <f>D62*'IID Cost Basis 2013'!$F$102</f>
        <v>0</v>
      </c>
      <c r="E65" s="5">
        <f>E62*'IID Cost Basis 2013'!$F$102</f>
        <v>0</v>
      </c>
      <c r="F65" s="5">
        <f>F62*'IID Cost Basis 2013'!$F$102</f>
        <v>0</v>
      </c>
      <c r="G65" s="5">
        <f>G62*'IID Cost Basis 2013'!$F$102</f>
        <v>0</v>
      </c>
      <c r="H65" s="5">
        <f>H62*'IID Cost Basis 2013'!$F$102</f>
        <v>0</v>
      </c>
      <c r="I65" s="5">
        <f>I62*'IID Cost Basis 2013'!$F$102</f>
        <v>0</v>
      </c>
      <c r="J65" s="5">
        <f>J62*'IID Cost Basis 2013'!$F$102</f>
        <v>0</v>
      </c>
      <c r="K65" s="5">
        <f>K62*'IID Cost Basis 2013'!$F$102</f>
        <v>0</v>
      </c>
      <c r="L65" s="5">
        <f>L62*'IID Cost Basis 2013'!$F$102</f>
        <v>0</v>
      </c>
      <c r="M65" s="5">
        <f>M62*'IID Cost Basis 2013'!$F$102</f>
        <v>0</v>
      </c>
      <c r="N65" s="5">
        <f>N62*'IID Cost Basis 2013'!$F$102</f>
        <v>0</v>
      </c>
      <c r="O65" s="5">
        <f>O62*'IID Cost Basis 2013'!$F$102</f>
        <v>0</v>
      </c>
      <c r="P65" s="5">
        <f>P62*'IID Cost Basis 2013'!$F$102</f>
        <v>0</v>
      </c>
      <c r="Q65" s="5">
        <f>Q62*'IID Cost Basis 2013'!$F$102</f>
        <v>0</v>
      </c>
      <c r="R65" s="5">
        <f>R62*'IID Cost Basis 2013'!$F$102</f>
        <v>0</v>
      </c>
      <c r="S65" s="5">
        <f>S62*'IID Cost Basis 2013'!$F$102</f>
        <v>0</v>
      </c>
      <c r="T65" s="5">
        <f>T62*'IID Cost Basis 2013'!$F$102</f>
        <v>0</v>
      </c>
      <c r="U65" s="5">
        <f>U62*'IID Cost Basis 2013'!$F$102</f>
        <v>0</v>
      </c>
      <c r="V65" s="5">
        <f>V62*'IID Cost Basis 2013'!$F$102</f>
        <v>0</v>
      </c>
      <c r="W65" s="5">
        <f>W62*'IID Cost Basis 2013'!$F$102</f>
        <v>0</v>
      </c>
      <c r="X65" s="5">
        <f>X62*'IID Cost Basis 2013'!$F$102</f>
        <v>0</v>
      </c>
      <c r="Y65" s="5">
        <f>Y62*'IID Cost Basis 2013'!$F$102</f>
        <v>0</v>
      </c>
      <c r="Z65" s="5">
        <f>Z62*'IID Cost Basis 2013'!$F$102</f>
        <v>0</v>
      </c>
      <c r="AA65" s="5">
        <f>AA62*'IID Cost Basis 2013'!$F$102</f>
        <v>0</v>
      </c>
      <c r="AB65" s="5">
        <f>AB62*'IID Cost Basis 2013'!$F$102</f>
        <v>0</v>
      </c>
      <c r="AC65" s="5">
        <f>AC62*'IID Cost Basis 2013'!$F$102</f>
        <v>0</v>
      </c>
      <c r="AD65" s="5">
        <f>AD62*'IID Cost Basis 2013'!$F$102</f>
        <v>0</v>
      </c>
      <c r="AE65" s="5">
        <f>AE62*'IID Cost Basis 2013'!$F$102</f>
        <v>0</v>
      </c>
      <c r="AF65" s="5">
        <f>AF62*'IID Cost Basis 2013'!$F$102</f>
        <v>0</v>
      </c>
      <c r="AG65" s="5">
        <f>AG62*'IID Cost Basis 2013'!$F$102</f>
        <v>0</v>
      </c>
      <c r="AH65" s="5">
        <f>AH62*'IID Cost Basis 2013'!$F$102</f>
        <v>0</v>
      </c>
      <c r="AI65" s="5">
        <f>AI62*'IID Cost Basis 2013'!$F$102</f>
        <v>0</v>
      </c>
      <c r="AJ65" s="5">
        <f>AJ62*'IID Cost Basis 2013'!$F$102</f>
        <v>0</v>
      </c>
      <c r="AK65" s="5">
        <f>AK62*'IID Cost Basis 2013'!$F$102</f>
        <v>0</v>
      </c>
      <c r="AL65" s="5">
        <f>AL62*'IID Cost Basis 2013'!$F$102</f>
        <v>0</v>
      </c>
      <c r="AM65" s="5">
        <f>AM62*'IID Cost Basis 2013'!$F$102</f>
        <v>0</v>
      </c>
      <c r="AN65" s="5">
        <f>AN62*'IID Cost Basis 2013'!$F$102</f>
        <v>0</v>
      </c>
      <c r="AO65" s="5">
        <f>AO62*'IID Cost Basis 2013'!$F$102</f>
        <v>0</v>
      </c>
      <c r="AP65" s="5">
        <f>AP62*'IID Cost Basis 2013'!$F$102</f>
        <v>0</v>
      </c>
      <c r="AQ65" s="5">
        <f>AQ62*'IID Cost Basis 2013'!$F$102</f>
        <v>0</v>
      </c>
      <c r="AR65" s="5">
        <f>AR62*'IID Cost Basis 2013'!$F$102</f>
        <v>0</v>
      </c>
      <c r="AS65" s="5">
        <f>AS62*'IID Cost Basis 2013'!$F$102</f>
        <v>0</v>
      </c>
      <c r="AT65" s="5">
        <f>AT62*'IID Cost Basis 2013'!$F$102</f>
        <v>0</v>
      </c>
      <c r="AU65" s="5">
        <f>AU62*'IID Cost Basis 2013'!$F$102</f>
        <v>0</v>
      </c>
      <c r="AV65" s="5">
        <f>AV62*'IID Cost Basis 2013'!$F$102</f>
        <v>0</v>
      </c>
      <c r="AW65" s="5">
        <f>AW62*'IID Cost Basis 2013'!$F$102</f>
        <v>0</v>
      </c>
      <c r="AX65" s="5">
        <f>AX62*'IID Cost Basis 2013'!$F$102</f>
        <v>0</v>
      </c>
      <c r="AY65" s="5">
        <f>AY62*'IID Cost Basis 2013'!$F$102</f>
        <v>0</v>
      </c>
      <c r="AZ65" s="5">
        <f>AZ62*'IID Cost Basis 2013'!$F$102</f>
        <v>0</v>
      </c>
      <c r="BA65" s="5">
        <f>BA62*'IID Cost Basis 2013'!$F$102</f>
        <v>0</v>
      </c>
      <c r="BB65" s="5">
        <f>BB62*'IID Cost Basis 2013'!$F$102</f>
        <v>0</v>
      </c>
      <c r="BC65" s="5">
        <f>BC62*'IID Cost Basis 2013'!$F$102</f>
        <v>0</v>
      </c>
      <c r="BD65" s="5">
        <f>BD62*'IID Cost Basis 2013'!$F$102</f>
        <v>0</v>
      </c>
      <c r="BE65" s="5">
        <f>BE62*'IID Cost Basis 2013'!$F$102</f>
        <v>0</v>
      </c>
      <c r="BF65" s="5">
        <f>BF62*'IID Cost Basis 2013'!$F$102</f>
        <v>0</v>
      </c>
      <c r="BG65" s="5">
        <f>BG62*'IID Cost Basis 2013'!$F$102</f>
        <v>0</v>
      </c>
      <c r="BH65" s="5">
        <f>BH62*'IID Cost Basis 2013'!$F$102</f>
        <v>0</v>
      </c>
      <c r="BI65" s="5"/>
    </row>
    <row r="66" spans="1:61" hidden="1" x14ac:dyDescent="0.2">
      <c r="A66" t="s">
        <v>1</v>
      </c>
      <c r="B66" s="31"/>
      <c r="C66" s="11" t="e">
        <f>#REF!</f>
        <v>#REF!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1" t="e">
        <f>#REF!</f>
        <v>#REF!</v>
      </c>
      <c r="Q66" s="11" t="e">
        <f>#REF!</f>
        <v>#REF!</v>
      </c>
      <c r="R66" s="11" t="e">
        <f>#REF!</f>
        <v>#REF!</v>
      </c>
      <c r="S66" s="11" t="e">
        <f>#REF!</f>
        <v>#REF!</v>
      </c>
      <c r="T66" s="11" t="e">
        <f>#REF!</f>
        <v>#REF!</v>
      </c>
      <c r="U66" s="11" t="e">
        <f>#REF!</f>
        <v>#REF!</v>
      </c>
      <c r="V66" s="11" t="e">
        <f>#REF!</f>
        <v>#REF!</v>
      </c>
      <c r="W66" s="11" t="e">
        <f>#REF!</f>
        <v>#REF!</v>
      </c>
      <c r="X66" s="11" t="e">
        <f>#REF!</f>
        <v>#REF!</v>
      </c>
      <c r="Y66" s="11" t="e">
        <f>#REF!</f>
        <v>#REF!</v>
      </c>
      <c r="Z66" s="11" t="e">
        <f>#REF!</f>
        <v>#REF!</v>
      </c>
      <c r="AA66" s="11" t="e">
        <f>#REF!</f>
        <v>#REF!</v>
      </c>
      <c r="AB66" s="11" t="e">
        <f>#REF!</f>
        <v>#REF!</v>
      </c>
      <c r="AC66" s="11" t="e">
        <f>#REF!</f>
        <v>#REF!</v>
      </c>
      <c r="AD66" s="11" t="e">
        <f>#REF!</f>
        <v>#REF!</v>
      </c>
      <c r="AE66" s="11" t="e">
        <f>#REF!</f>
        <v>#REF!</v>
      </c>
      <c r="AF66" s="11" t="e">
        <f>#REF!</f>
        <v>#REF!</v>
      </c>
      <c r="AG66" s="11" t="e">
        <f>#REF!</f>
        <v>#REF!</v>
      </c>
      <c r="AH66" s="11" t="e">
        <f>#REF!</f>
        <v>#REF!</v>
      </c>
      <c r="AI66" s="11" t="e">
        <f>#REF!</f>
        <v>#REF!</v>
      </c>
      <c r="AJ66" s="11" t="e">
        <f>#REF!</f>
        <v>#REF!</v>
      </c>
      <c r="AK66" s="11" t="e">
        <f>#REF!</f>
        <v>#REF!</v>
      </c>
      <c r="AL66" s="11" t="e">
        <f>#REF!</f>
        <v>#REF!</v>
      </c>
      <c r="AM66" s="11" t="e">
        <f>#REF!</f>
        <v>#REF!</v>
      </c>
      <c r="AN66" s="11" t="e">
        <f>#REF!</f>
        <v>#REF!</v>
      </c>
      <c r="AO66" s="11" t="e">
        <f>#REF!</f>
        <v>#REF!</v>
      </c>
      <c r="AP66" s="11" t="e">
        <f>#REF!</f>
        <v>#REF!</v>
      </c>
      <c r="AQ66" s="11" t="e">
        <f>#REF!</f>
        <v>#REF!</v>
      </c>
      <c r="AR66" s="11" t="e">
        <f>#REF!</f>
        <v>#REF!</v>
      </c>
      <c r="AS66" s="11" t="e">
        <f>#REF!</f>
        <v>#REF!</v>
      </c>
      <c r="AT66" s="11" t="e">
        <f>#REF!</f>
        <v>#REF!</v>
      </c>
      <c r="AU66" s="11" t="e">
        <f>#REF!</f>
        <v>#REF!</v>
      </c>
      <c r="AV66" s="11" t="e">
        <f>#REF!</f>
        <v>#REF!</v>
      </c>
      <c r="AW66" s="11" t="e">
        <f>#REF!</f>
        <v>#REF!</v>
      </c>
      <c r="AX66" s="11" t="e">
        <f>#REF!</f>
        <v>#REF!</v>
      </c>
      <c r="AY66" s="11" t="e">
        <f>#REF!</f>
        <v>#REF!</v>
      </c>
      <c r="AZ66" s="11" t="e">
        <f>#REF!</f>
        <v>#REF!</v>
      </c>
      <c r="BA66" s="11" t="e">
        <f>#REF!</f>
        <v>#REF!</v>
      </c>
      <c r="BB66" s="11" t="e">
        <f>#REF!</f>
        <v>#REF!</v>
      </c>
      <c r="BC66" s="11" t="e">
        <f>#REF!</f>
        <v>#REF!</v>
      </c>
      <c r="BD66" s="11" t="e">
        <f>#REF!</f>
        <v>#REF!</v>
      </c>
      <c r="BE66" s="11" t="e">
        <f>#REF!</f>
        <v>#REF!</v>
      </c>
      <c r="BF66" s="11" t="e">
        <f>#REF!</f>
        <v>#REF!</v>
      </c>
      <c r="BG66" s="11" t="e">
        <f>#REF!</f>
        <v>#REF!</v>
      </c>
      <c r="BH66" s="11" t="e">
        <f>#REF!</f>
        <v>#REF!</v>
      </c>
      <c r="BI66" s="11"/>
    </row>
    <row r="67" spans="1:61" s="72" customFormat="1" hidden="1" x14ac:dyDescent="0.2">
      <c r="A67" s="72" t="s">
        <v>459</v>
      </c>
      <c r="B67" s="128"/>
      <c r="C67" s="81">
        <f>C65</f>
        <v>0</v>
      </c>
      <c r="D67" s="81">
        <f t="shared" ref="D67:BH67" si="27">D65</f>
        <v>0</v>
      </c>
      <c r="E67" s="81">
        <f t="shared" si="27"/>
        <v>0</v>
      </c>
      <c r="F67" s="81">
        <f t="shared" si="27"/>
        <v>0</v>
      </c>
      <c r="G67" s="81">
        <f t="shared" si="27"/>
        <v>0</v>
      </c>
      <c r="H67" s="81">
        <f t="shared" si="27"/>
        <v>0</v>
      </c>
      <c r="I67" s="81">
        <f t="shared" si="27"/>
        <v>0</v>
      </c>
      <c r="J67" s="81">
        <f t="shared" si="27"/>
        <v>0</v>
      </c>
      <c r="K67" s="81">
        <f t="shared" si="27"/>
        <v>0</v>
      </c>
      <c r="L67" s="81">
        <f t="shared" si="27"/>
        <v>0</v>
      </c>
      <c r="M67" s="81">
        <f t="shared" si="27"/>
        <v>0</v>
      </c>
      <c r="N67" s="81">
        <f t="shared" si="27"/>
        <v>0</v>
      </c>
      <c r="O67" s="81">
        <f t="shared" si="27"/>
        <v>0</v>
      </c>
      <c r="P67" s="81">
        <f t="shared" si="27"/>
        <v>0</v>
      </c>
      <c r="Q67" s="81">
        <f t="shared" si="27"/>
        <v>0</v>
      </c>
      <c r="R67" s="81">
        <f t="shared" si="27"/>
        <v>0</v>
      </c>
      <c r="S67" s="81">
        <f t="shared" si="27"/>
        <v>0</v>
      </c>
      <c r="T67" s="81">
        <f t="shared" si="27"/>
        <v>0</v>
      </c>
      <c r="U67" s="81">
        <f t="shared" si="27"/>
        <v>0</v>
      </c>
      <c r="V67" s="81">
        <f t="shared" si="27"/>
        <v>0</v>
      </c>
      <c r="W67" s="81">
        <f t="shared" si="27"/>
        <v>0</v>
      </c>
      <c r="X67" s="81">
        <f t="shared" si="27"/>
        <v>0</v>
      </c>
      <c r="Y67" s="81">
        <f t="shared" si="27"/>
        <v>0</v>
      </c>
      <c r="Z67" s="81">
        <f t="shared" si="27"/>
        <v>0</v>
      </c>
      <c r="AA67" s="81">
        <f t="shared" si="27"/>
        <v>0</v>
      </c>
      <c r="AB67" s="81">
        <f t="shared" si="27"/>
        <v>0</v>
      </c>
      <c r="AC67" s="81">
        <f t="shared" si="27"/>
        <v>0</v>
      </c>
      <c r="AD67" s="81">
        <f t="shared" si="27"/>
        <v>0</v>
      </c>
      <c r="AE67" s="81">
        <f t="shared" si="27"/>
        <v>0</v>
      </c>
      <c r="AF67" s="81">
        <f t="shared" si="27"/>
        <v>0</v>
      </c>
      <c r="AG67" s="81">
        <f t="shared" si="27"/>
        <v>0</v>
      </c>
      <c r="AH67" s="81">
        <f t="shared" si="27"/>
        <v>0</v>
      </c>
      <c r="AI67" s="81">
        <f t="shared" si="27"/>
        <v>0</v>
      </c>
      <c r="AJ67" s="81">
        <f t="shared" si="27"/>
        <v>0</v>
      </c>
      <c r="AK67" s="81">
        <f t="shared" si="27"/>
        <v>0</v>
      </c>
      <c r="AL67" s="81">
        <f t="shared" si="27"/>
        <v>0</v>
      </c>
      <c r="AM67" s="81">
        <f t="shared" si="27"/>
        <v>0</v>
      </c>
      <c r="AN67" s="81">
        <f t="shared" si="27"/>
        <v>0</v>
      </c>
      <c r="AO67" s="81">
        <f t="shared" si="27"/>
        <v>0</v>
      </c>
      <c r="AP67" s="81">
        <f t="shared" si="27"/>
        <v>0</v>
      </c>
      <c r="AQ67" s="81">
        <f t="shared" si="27"/>
        <v>0</v>
      </c>
      <c r="AR67" s="81">
        <f t="shared" si="27"/>
        <v>0</v>
      </c>
      <c r="AS67" s="81">
        <f t="shared" si="27"/>
        <v>0</v>
      </c>
      <c r="AT67" s="81">
        <f t="shared" si="27"/>
        <v>0</v>
      </c>
      <c r="AU67" s="81">
        <f t="shared" si="27"/>
        <v>0</v>
      </c>
      <c r="AV67" s="81">
        <f t="shared" si="27"/>
        <v>0</v>
      </c>
      <c r="AW67" s="81">
        <f t="shared" si="27"/>
        <v>0</v>
      </c>
      <c r="AX67" s="81">
        <f t="shared" si="27"/>
        <v>0</v>
      </c>
      <c r="AY67" s="81">
        <f t="shared" si="27"/>
        <v>0</v>
      </c>
      <c r="AZ67" s="81">
        <f t="shared" si="27"/>
        <v>0</v>
      </c>
      <c r="BA67" s="81">
        <f t="shared" si="27"/>
        <v>0</v>
      </c>
      <c r="BB67" s="81">
        <f t="shared" si="27"/>
        <v>0</v>
      </c>
      <c r="BC67" s="81">
        <f t="shared" si="27"/>
        <v>0</v>
      </c>
      <c r="BD67" s="81">
        <f t="shared" si="27"/>
        <v>0</v>
      </c>
      <c r="BE67" s="81">
        <f t="shared" si="27"/>
        <v>0</v>
      </c>
      <c r="BF67" s="81">
        <f t="shared" si="27"/>
        <v>0</v>
      </c>
      <c r="BG67" s="81">
        <f t="shared" si="27"/>
        <v>0</v>
      </c>
      <c r="BH67" s="81">
        <f t="shared" si="27"/>
        <v>0</v>
      </c>
      <c r="BI67" s="81"/>
    </row>
    <row r="68" spans="1:61" hidden="1" x14ac:dyDescent="0.2">
      <c r="A68" t="s">
        <v>461</v>
      </c>
      <c r="B68" s="31"/>
      <c r="C68" s="10">
        <f>IF(C67&gt;0,#REF!,0)</f>
        <v>0</v>
      </c>
      <c r="D68" s="10">
        <f>IF(D67&gt;0,#REF!,0)</f>
        <v>0</v>
      </c>
      <c r="E68" s="10">
        <f>IF(E67&gt;0,#REF!,0)</f>
        <v>0</v>
      </c>
      <c r="F68" s="10">
        <f>IF(F67&gt;0,#REF!,0)</f>
        <v>0</v>
      </c>
      <c r="G68" s="10">
        <f>IF(G67&gt;0,#REF!,0)</f>
        <v>0</v>
      </c>
      <c r="H68" s="10">
        <f>IF(H67&gt;0,#REF!,0)</f>
        <v>0</v>
      </c>
      <c r="I68" s="10">
        <f>IF(I67&gt;0,#REF!,0)</f>
        <v>0</v>
      </c>
      <c r="J68" s="10">
        <f>IF(J67&gt;0,#REF!,0)</f>
        <v>0</v>
      </c>
      <c r="K68" s="10">
        <f>IF(K67&gt;0,#REF!,0)</f>
        <v>0</v>
      </c>
      <c r="L68" s="10">
        <f>IF(L67&gt;0,#REF!,0)</f>
        <v>0</v>
      </c>
      <c r="M68" s="10">
        <f>IF(M67&gt;0,#REF!,0)</f>
        <v>0</v>
      </c>
      <c r="N68" s="10">
        <f>IF(N67&gt;0,#REF!,0)</f>
        <v>0</v>
      </c>
      <c r="O68" s="10">
        <f>IF(O67&gt;0,#REF!,0)</f>
        <v>0</v>
      </c>
      <c r="P68" s="10">
        <f>IF(P67&gt;0,#REF!,0)</f>
        <v>0</v>
      </c>
      <c r="Q68" s="10">
        <f>IF(Q67&gt;0,#REF!,0)</f>
        <v>0</v>
      </c>
      <c r="R68" s="10">
        <f>IF(R67&gt;0,#REF!,0)</f>
        <v>0</v>
      </c>
      <c r="S68" s="10">
        <f>IF(S67&gt;0,#REF!,0)</f>
        <v>0</v>
      </c>
      <c r="T68" s="10">
        <f>IF(T67&gt;0,#REF!,0)</f>
        <v>0</v>
      </c>
      <c r="U68" s="10">
        <f>IF(U67&gt;0,#REF!,0)</f>
        <v>0</v>
      </c>
      <c r="V68" s="10">
        <f>IF(V67&gt;0,#REF!,0)</f>
        <v>0</v>
      </c>
      <c r="W68" s="10">
        <f>IF(W67&gt;0,#REF!,0)</f>
        <v>0</v>
      </c>
      <c r="X68" s="10">
        <f>IF(X67&gt;0,#REF!,0)</f>
        <v>0</v>
      </c>
      <c r="Y68" s="10">
        <f>IF(Y67&gt;0,#REF!,0)</f>
        <v>0</v>
      </c>
      <c r="Z68" s="10">
        <f>IF(Z67&gt;0,#REF!,0)</f>
        <v>0</v>
      </c>
      <c r="AA68" s="10">
        <f>IF(AA67&gt;0,#REF!,0)</f>
        <v>0</v>
      </c>
      <c r="AB68" s="10">
        <f>IF(AB67&gt;0,#REF!,0)</f>
        <v>0</v>
      </c>
      <c r="AC68" s="10">
        <f>IF(AC67&gt;0,#REF!,0)</f>
        <v>0</v>
      </c>
      <c r="AD68" s="10">
        <f>IF(AD67&gt;0,#REF!,0)</f>
        <v>0</v>
      </c>
      <c r="AE68" s="10">
        <f>IF(AE67&gt;0,#REF!,0)</f>
        <v>0</v>
      </c>
      <c r="AF68" s="10">
        <f>IF(AF67&gt;0,#REF!,0)</f>
        <v>0</v>
      </c>
      <c r="AG68" s="10">
        <f>IF(AG67&gt;0,#REF!,0)</f>
        <v>0</v>
      </c>
      <c r="AH68" s="10">
        <f>IF(AH67&gt;0,#REF!,0)</f>
        <v>0</v>
      </c>
      <c r="AI68" s="10">
        <f>IF(AI67&gt;0,#REF!,0)</f>
        <v>0</v>
      </c>
      <c r="AJ68" s="10">
        <f>IF(AJ67&gt;0,#REF!,0)</f>
        <v>0</v>
      </c>
      <c r="AK68" s="10">
        <f>IF(AK67&gt;0,#REF!,0)</f>
        <v>0</v>
      </c>
      <c r="AL68" s="10">
        <f>IF(AL67&gt;0,#REF!,0)</f>
        <v>0</v>
      </c>
      <c r="AM68" s="10">
        <f>IF(AM67&gt;0,#REF!,0)</f>
        <v>0</v>
      </c>
      <c r="AN68" s="10">
        <f>IF(AN67&gt;0,#REF!,0)</f>
        <v>0</v>
      </c>
      <c r="AO68" s="10">
        <f>IF(AO67&gt;0,#REF!,0)</f>
        <v>0</v>
      </c>
      <c r="AP68" s="10">
        <f>IF(AP67&gt;0,#REF!,0)</f>
        <v>0</v>
      </c>
      <c r="AQ68" s="10">
        <f>IF(AQ67&gt;0,#REF!,0)</f>
        <v>0</v>
      </c>
      <c r="AR68" s="10">
        <f>IF(AR67&gt;0,#REF!,0)</f>
        <v>0</v>
      </c>
      <c r="AS68" s="10">
        <f>IF(AS67&gt;0,#REF!,0)</f>
        <v>0</v>
      </c>
      <c r="AT68" s="10">
        <f>IF(AT67&gt;0,#REF!,0)</f>
        <v>0</v>
      </c>
      <c r="AU68" s="10">
        <f>IF(AU67&gt;0,#REF!,0)</f>
        <v>0</v>
      </c>
      <c r="AV68" s="10">
        <f>IF(AV67&gt;0,#REF!,0)</f>
        <v>0</v>
      </c>
      <c r="AW68" s="10">
        <f>IF(AW67&gt;0,#REF!,0)</f>
        <v>0</v>
      </c>
      <c r="AX68" s="10">
        <f>IF(AX67&gt;0,#REF!,0)</f>
        <v>0</v>
      </c>
      <c r="AY68" s="10">
        <f>IF(AY67&gt;0,#REF!,0)</f>
        <v>0</v>
      </c>
      <c r="AZ68" s="10">
        <f>IF(AZ67&gt;0,#REF!,0)</f>
        <v>0</v>
      </c>
      <c r="BA68" s="10">
        <f>IF(BA67&gt;0,#REF!,0)</f>
        <v>0</v>
      </c>
      <c r="BB68" s="10">
        <f>IF(BB67&gt;0,#REF!,0)</f>
        <v>0</v>
      </c>
      <c r="BC68" s="10">
        <f>IF(BC67&gt;0,#REF!,0)</f>
        <v>0</v>
      </c>
      <c r="BD68" s="10">
        <f>IF(BD67&gt;0,#REF!,0)</f>
        <v>0</v>
      </c>
      <c r="BE68" s="10">
        <f>IF(BE67&gt;0,#REF!,0)</f>
        <v>0</v>
      </c>
      <c r="BF68" s="10">
        <f>IF(BF67&gt;0,#REF!,0)</f>
        <v>0</v>
      </c>
      <c r="BG68" s="10">
        <f>IF(BG67&gt;0,#REF!,0)</f>
        <v>0</v>
      </c>
      <c r="BH68" s="10">
        <f>IF(BH67&gt;0,#REF!,0)</f>
        <v>0</v>
      </c>
      <c r="BI68" s="10"/>
    </row>
    <row r="69" spans="1:61" s="74" customFormat="1" hidden="1" x14ac:dyDescent="0.2">
      <c r="A69" s="74" t="s">
        <v>460</v>
      </c>
      <c r="B69" s="121"/>
      <c r="C69" s="75">
        <f t="shared" ref="C69:BH69" si="28">C67*C68</f>
        <v>0</v>
      </c>
      <c r="D69" s="75">
        <f t="shared" si="28"/>
        <v>0</v>
      </c>
      <c r="E69" s="75">
        <f t="shared" si="28"/>
        <v>0</v>
      </c>
      <c r="F69" s="75">
        <f t="shared" si="28"/>
        <v>0</v>
      </c>
      <c r="G69" s="75">
        <f t="shared" si="28"/>
        <v>0</v>
      </c>
      <c r="H69" s="75">
        <f t="shared" si="28"/>
        <v>0</v>
      </c>
      <c r="I69" s="75">
        <f t="shared" si="28"/>
        <v>0</v>
      </c>
      <c r="J69" s="75">
        <f t="shared" si="28"/>
        <v>0</v>
      </c>
      <c r="K69" s="75">
        <f t="shared" si="28"/>
        <v>0</v>
      </c>
      <c r="L69" s="75">
        <f t="shared" si="28"/>
        <v>0</v>
      </c>
      <c r="M69" s="75">
        <f t="shared" si="28"/>
        <v>0</v>
      </c>
      <c r="N69" s="75">
        <f t="shared" si="28"/>
        <v>0</v>
      </c>
      <c r="O69" s="75">
        <f t="shared" si="28"/>
        <v>0</v>
      </c>
      <c r="P69" s="75">
        <f t="shared" si="28"/>
        <v>0</v>
      </c>
      <c r="Q69" s="75">
        <f t="shared" si="28"/>
        <v>0</v>
      </c>
      <c r="R69" s="75">
        <f t="shared" si="28"/>
        <v>0</v>
      </c>
      <c r="S69" s="75">
        <f t="shared" si="28"/>
        <v>0</v>
      </c>
      <c r="T69" s="75">
        <f t="shared" si="28"/>
        <v>0</v>
      </c>
      <c r="U69" s="75">
        <f t="shared" si="28"/>
        <v>0</v>
      </c>
      <c r="V69" s="75">
        <f t="shared" si="28"/>
        <v>0</v>
      </c>
      <c r="W69" s="75">
        <f t="shared" si="28"/>
        <v>0</v>
      </c>
      <c r="X69" s="75">
        <f t="shared" si="28"/>
        <v>0</v>
      </c>
      <c r="Y69" s="75">
        <f t="shared" si="28"/>
        <v>0</v>
      </c>
      <c r="Z69" s="75">
        <f t="shared" si="28"/>
        <v>0</v>
      </c>
      <c r="AA69" s="75">
        <f t="shared" si="28"/>
        <v>0</v>
      </c>
      <c r="AB69" s="75">
        <f t="shared" si="28"/>
        <v>0</v>
      </c>
      <c r="AC69" s="75">
        <f t="shared" si="28"/>
        <v>0</v>
      </c>
      <c r="AD69" s="75">
        <f t="shared" si="28"/>
        <v>0</v>
      </c>
      <c r="AE69" s="75">
        <f t="shared" si="28"/>
        <v>0</v>
      </c>
      <c r="AF69" s="75">
        <f t="shared" si="28"/>
        <v>0</v>
      </c>
      <c r="AG69" s="75">
        <f t="shared" si="28"/>
        <v>0</v>
      </c>
      <c r="AH69" s="75">
        <f t="shared" si="28"/>
        <v>0</v>
      </c>
      <c r="AI69" s="75">
        <f t="shared" si="28"/>
        <v>0</v>
      </c>
      <c r="AJ69" s="75">
        <f t="shared" si="28"/>
        <v>0</v>
      </c>
      <c r="AK69" s="75">
        <f t="shared" si="28"/>
        <v>0</v>
      </c>
      <c r="AL69" s="75">
        <f t="shared" si="28"/>
        <v>0</v>
      </c>
      <c r="AM69" s="75">
        <f t="shared" si="28"/>
        <v>0</v>
      </c>
      <c r="AN69" s="75">
        <f t="shared" si="28"/>
        <v>0</v>
      </c>
      <c r="AO69" s="75">
        <f t="shared" si="28"/>
        <v>0</v>
      </c>
      <c r="AP69" s="75">
        <f t="shared" si="28"/>
        <v>0</v>
      </c>
      <c r="AQ69" s="75">
        <f t="shared" si="28"/>
        <v>0</v>
      </c>
      <c r="AR69" s="75">
        <f t="shared" si="28"/>
        <v>0</v>
      </c>
      <c r="AS69" s="75">
        <f t="shared" si="28"/>
        <v>0</v>
      </c>
      <c r="AT69" s="75">
        <f t="shared" si="28"/>
        <v>0</v>
      </c>
      <c r="AU69" s="75">
        <f t="shared" si="28"/>
        <v>0</v>
      </c>
      <c r="AV69" s="75">
        <f t="shared" si="28"/>
        <v>0</v>
      </c>
      <c r="AW69" s="75">
        <f t="shared" si="28"/>
        <v>0</v>
      </c>
      <c r="AX69" s="75">
        <f t="shared" si="28"/>
        <v>0</v>
      </c>
      <c r="AY69" s="75">
        <f t="shared" si="28"/>
        <v>0</v>
      </c>
      <c r="AZ69" s="75">
        <f t="shared" si="28"/>
        <v>0</v>
      </c>
      <c r="BA69" s="75">
        <f t="shared" si="28"/>
        <v>0</v>
      </c>
      <c r="BB69" s="75">
        <f t="shared" si="28"/>
        <v>0</v>
      </c>
      <c r="BC69" s="75">
        <f t="shared" si="28"/>
        <v>0</v>
      </c>
      <c r="BD69" s="75">
        <f t="shared" si="28"/>
        <v>0</v>
      </c>
      <c r="BE69" s="75">
        <f t="shared" si="28"/>
        <v>0</v>
      </c>
      <c r="BF69" s="75">
        <f t="shared" si="28"/>
        <v>0</v>
      </c>
      <c r="BG69" s="75">
        <f t="shared" si="28"/>
        <v>0</v>
      </c>
      <c r="BH69" s="75">
        <f t="shared" si="28"/>
        <v>0</v>
      </c>
      <c r="BI69" s="75"/>
    </row>
    <row r="70" spans="1:61" s="79" customFormat="1" hidden="1" x14ac:dyDescent="0.2">
      <c r="B70" s="125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</row>
    <row r="71" spans="1:61" x14ac:dyDescent="0.2">
      <c r="A71" s="1" t="s">
        <v>576</v>
      </c>
      <c r="B71" s="3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 x14ac:dyDescent="0.2">
      <c r="A72" t="s">
        <v>464</v>
      </c>
      <c r="B72" s="31"/>
      <c r="C72" s="94" t="e">
        <f t="shared" ref="C72:F72" si="29" xml:space="preserve"> D73</f>
        <v>#REF!</v>
      </c>
      <c r="D72" s="94" t="e">
        <f t="shared" si="29"/>
        <v>#REF!</v>
      </c>
      <c r="E72" s="94" t="e">
        <f t="shared" si="29"/>
        <v>#REF!</v>
      </c>
      <c r="F72" s="94" t="e">
        <f t="shared" si="29"/>
        <v>#REF!</v>
      </c>
      <c r="G72" s="94" t="e">
        <f xml:space="preserve"> H73</f>
        <v>#REF!</v>
      </c>
      <c r="H72" s="94" t="e">
        <f t="shared" ref="H72:AL72" si="30" xml:space="preserve"> I73</f>
        <v>#REF!</v>
      </c>
      <c r="I72" s="94" t="e">
        <f t="shared" si="30"/>
        <v>#REF!</v>
      </c>
      <c r="J72" s="94" t="e">
        <f t="shared" si="30"/>
        <v>#REF!</v>
      </c>
      <c r="K72" s="94" t="e">
        <f t="shared" si="30"/>
        <v>#REF!</v>
      </c>
      <c r="L72" s="94" t="e">
        <f t="shared" si="30"/>
        <v>#REF!</v>
      </c>
      <c r="M72" s="94" t="e">
        <f t="shared" si="30"/>
        <v>#REF!</v>
      </c>
      <c r="N72" s="94" t="e">
        <f t="shared" si="30"/>
        <v>#REF!</v>
      </c>
      <c r="O72" s="94" t="e">
        <f t="shared" si="30"/>
        <v>#REF!</v>
      </c>
      <c r="P72" s="94" t="e">
        <f t="shared" si="30"/>
        <v>#REF!</v>
      </c>
      <c r="Q72" s="94" t="e">
        <f t="shared" si="30"/>
        <v>#REF!</v>
      </c>
      <c r="R72" s="94" t="e">
        <f t="shared" si="30"/>
        <v>#REF!</v>
      </c>
      <c r="S72" s="94" t="e">
        <f t="shared" si="30"/>
        <v>#REF!</v>
      </c>
      <c r="T72" s="94" t="e">
        <f t="shared" si="30"/>
        <v>#REF!</v>
      </c>
      <c r="U72" s="94" t="e">
        <f t="shared" si="30"/>
        <v>#REF!</v>
      </c>
      <c r="V72" s="94" t="e">
        <f t="shared" si="30"/>
        <v>#REF!</v>
      </c>
      <c r="W72" s="94" t="e">
        <f t="shared" si="30"/>
        <v>#REF!</v>
      </c>
      <c r="X72" s="94" t="e">
        <f t="shared" si="30"/>
        <v>#REF!</v>
      </c>
      <c r="Y72" s="94" t="e">
        <f t="shared" si="30"/>
        <v>#REF!</v>
      </c>
      <c r="Z72" s="94" t="e">
        <f t="shared" si="30"/>
        <v>#REF!</v>
      </c>
      <c r="AA72" s="94" t="e">
        <f t="shared" si="30"/>
        <v>#REF!</v>
      </c>
      <c r="AB72" s="94" t="e">
        <f t="shared" si="30"/>
        <v>#REF!</v>
      </c>
      <c r="AC72" s="94" t="e">
        <f t="shared" si="30"/>
        <v>#REF!</v>
      </c>
      <c r="AD72" s="94" t="e">
        <f t="shared" si="30"/>
        <v>#REF!</v>
      </c>
      <c r="AE72" s="94" t="e">
        <f t="shared" si="30"/>
        <v>#REF!</v>
      </c>
      <c r="AF72" s="94" t="e">
        <f t="shared" si="30"/>
        <v>#REF!</v>
      </c>
      <c r="AG72" s="94" t="e">
        <f t="shared" si="30"/>
        <v>#REF!</v>
      </c>
      <c r="AH72" s="94" t="e">
        <f t="shared" si="30"/>
        <v>#REF!</v>
      </c>
      <c r="AI72" s="94" t="e">
        <f t="shared" si="30"/>
        <v>#REF!</v>
      </c>
      <c r="AJ72" s="94" t="e">
        <f t="shared" si="30"/>
        <v>#REF!</v>
      </c>
      <c r="AK72" s="94" t="e">
        <f t="shared" si="30"/>
        <v>#REF!</v>
      </c>
      <c r="AL72" s="94">
        <f t="shared" si="30"/>
        <v>0</v>
      </c>
      <c r="AM72" s="94">
        <f t="shared" ref="AM72:BH72" si="31" xml:space="preserve"> BI73</f>
        <v>0</v>
      </c>
      <c r="AN72" s="94">
        <f t="shared" si="31"/>
        <v>0</v>
      </c>
      <c r="AO72" s="94">
        <f t="shared" si="31"/>
        <v>0</v>
      </c>
      <c r="AP72" s="94">
        <f t="shared" si="31"/>
        <v>0</v>
      </c>
      <c r="AQ72" s="94">
        <f t="shared" si="31"/>
        <v>0</v>
      </c>
      <c r="AR72" s="94">
        <f t="shared" si="31"/>
        <v>0</v>
      </c>
      <c r="AS72" s="94">
        <f t="shared" si="31"/>
        <v>0</v>
      </c>
      <c r="AT72" s="94">
        <f t="shared" si="31"/>
        <v>0</v>
      </c>
      <c r="AU72" s="94">
        <f t="shared" si="31"/>
        <v>0</v>
      </c>
      <c r="AV72" s="94">
        <f t="shared" si="31"/>
        <v>0</v>
      </c>
      <c r="AW72" s="94">
        <f t="shared" si="31"/>
        <v>0</v>
      </c>
      <c r="AX72" s="94">
        <f t="shared" si="31"/>
        <v>0</v>
      </c>
      <c r="AY72" s="94">
        <f t="shared" si="31"/>
        <v>0</v>
      </c>
      <c r="AZ72" s="94">
        <f t="shared" si="31"/>
        <v>0</v>
      </c>
      <c r="BA72" s="94">
        <f t="shared" si="31"/>
        <v>0</v>
      </c>
      <c r="BB72" s="94">
        <f t="shared" si="31"/>
        <v>0</v>
      </c>
      <c r="BC72" s="94">
        <f t="shared" si="31"/>
        <v>0</v>
      </c>
      <c r="BD72" s="94">
        <f t="shared" si="31"/>
        <v>0</v>
      </c>
      <c r="BE72" s="94">
        <f t="shared" si="31"/>
        <v>0</v>
      </c>
      <c r="BF72" s="94">
        <f t="shared" si="31"/>
        <v>0</v>
      </c>
      <c r="BG72" s="94">
        <f t="shared" si="31"/>
        <v>0</v>
      </c>
      <c r="BH72" s="94">
        <f t="shared" si="31"/>
        <v>0</v>
      </c>
    </row>
    <row r="73" spans="1:61" x14ac:dyDescent="0.2">
      <c r="A73" t="s">
        <v>465</v>
      </c>
      <c r="B73" s="31"/>
      <c r="C73" s="94" t="e">
        <f t="shared" ref="C73:G73" si="32" xml:space="preserve"> D74-C74</f>
        <v>#REF!</v>
      </c>
      <c r="D73" s="94" t="e">
        <f t="shared" si="32"/>
        <v>#REF!</v>
      </c>
      <c r="E73" s="94" t="e">
        <f t="shared" si="32"/>
        <v>#REF!</v>
      </c>
      <c r="F73" s="94" t="e">
        <f t="shared" si="32"/>
        <v>#REF!</v>
      </c>
      <c r="G73" s="94" t="e">
        <f t="shared" si="32"/>
        <v>#REF!</v>
      </c>
      <c r="H73" s="94" t="e">
        <f xml:space="preserve"> I74-H74</f>
        <v>#REF!</v>
      </c>
      <c r="I73" s="94" t="e">
        <f t="shared" ref="I73:AL73" si="33" xml:space="preserve"> J74-I74</f>
        <v>#REF!</v>
      </c>
      <c r="J73" s="94" t="e">
        <f t="shared" si="33"/>
        <v>#REF!</v>
      </c>
      <c r="K73" s="94" t="e">
        <f t="shared" si="33"/>
        <v>#REF!</v>
      </c>
      <c r="L73" s="94" t="e">
        <f t="shared" si="33"/>
        <v>#REF!</v>
      </c>
      <c r="M73" s="94" t="e">
        <f t="shared" si="33"/>
        <v>#REF!</v>
      </c>
      <c r="N73" s="94" t="e">
        <f t="shared" si="33"/>
        <v>#REF!</v>
      </c>
      <c r="O73" s="94" t="e">
        <f t="shared" si="33"/>
        <v>#REF!</v>
      </c>
      <c r="P73" s="94" t="e">
        <f t="shared" si="33"/>
        <v>#REF!</v>
      </c>
      <c r="Q73" s="94" t="e">
        <f t="shared" si="33"/>
        <v>#REF!</v>
      </c>
      <c r="R73" s="94" t="e">
        <f t="shared" si="33"/>
        <v>#REF!</v>
      </c>
      <c r="S73" s="94" t="e">
        <f t="shared" si="33"/>
        <v>#REF!</v>
      </c>
      <c r="T73" s="94" t="e">
        <f t="shared" si="33"/>
        <v>#REF!</v>
      </c>
      <c r="U73" s="94" t="e">
        <f t="shared" si="33"/>
        <v>#REF!</v>
      </c>
      <c r="V73" s="94" t="e">
        <f t="shared" si="33"/>
        <v>#REF!</v>
      </c>
      <c r="W73" s="94" t="e">
        <f t="shared" si="33"/>
        <v>#REF!</v>
      </c>
      <c r="X73" s="94" t="e">
        <f t="shared" si="33"/>
        <v>#REF!</v>
      </c>
      <c r="Y73" s="94" t="e">
        <f t="shared" si="33"/>
        <v>#REF!</v>
      </c>
      <c r="Z73" s="94" t="e">
        <f t="shared" si="33"/>
        <v>#REF!</v>
      </c>
      <c r="AA73" s="94" t="e">
        <f t="shared" si="33"/>
        <v>#REF!</v>
      </c>
      <c r="AB73" s="94" t="e">
        <f t="shared" si="33"/>
        <v>#REF!</v>
      </c>
      <c r="AC73" s="94" t="e">
        <f t="shared" si="33"/>
        <v>#REF!</v>
      </c>
      <c r="AD73" s="94" t="e">
        <f t="shared" si="33"/>
        <v>#REF!</v>
      </c>
      <c r="AE73" s="94" t="e">
        <f t="shared" si="33"/>
        <v>#REF!</v>
      </c>
      <c r="AF73" s="94" t="e">
        <f t="shared" si="33"/>
        <v>#REF!</v>
      </c>
      <c r="AG73" s="94" t="e">
        <f t="shared" si="33"/>
        <v>#REF!</v>
      </c>
      <c r="AH73" s="94" t="e">
        <f t="shared" si="33"/>
        <v>#REF!</v>
      </c>
      <c r="AI73" s="94" t="e">
        <f t="shared" si="33"/>
        <v>#REF!</v>
      </c>
      <c r="AJ73" s="94" t="e">
        <f t="shared" si="33"/>
        <v>#REF!</v>
      </c>
      <c r="AK73" s="94" t="e">
        <f t="shared" si="33"/>
        <v>#REF!</v>
      </c>
      <c r="AL73" s="94" t="e">
        <f t="shared" si="33"/>
        <v>#REF!</v>
      </c>
      <c r="AM73" s="94">
        <v>0</v>
      </c>
      <c r="AN73" s="94">
        <v>0</v>
      </c>
      <c r="AO73" s="94">
        <v>0</v>
      </c>
      <c r="AP73" s="94">
        <v>0</v>
      </c>
      <c r="AQ73" s="94">
        <v>0</v>
      </c>
      <c r="AR73" s="94">
        <v>0</v>
      </c>
      <c r="AS73" s="94">
        <v>0</v>
      </c>
      <c r="AT73" s="94">
        <v>0</v>
      </c>
      <c r="AU73" s="94">
        <v>0</v>
      </c>
      <c r="AV73" s="94">
        <v>0</v>
      </c>
      <c r="AW73" s="94">
        <v>0</v>
      </c>
      <c r="AX73" s="94">
        <v>0</v>
      </c>
      <c r="AY73" s="94">
        <v>0</v>
      </c>
      <c r="AZ73" s="94">
        <v>0</v>
      </c>
      <c r="BA73" s="94">
        <v>0</v>
      </c>
      <c r="BB73" s="94">
        <v>0</v>
      </c>
      <c r="BC73" s="94">
        <v>0</v>
      </c>
      <c r="BD73" s="94">
        <v>0</v>
      </c>
      <c r="BE73" s="94">
        <v>0</v>
      </c>
      <c r="BF73" s="94">
        <v>0</v>
      </c>
      <c r="BG73" s="94">
        <v>0</v>
      </c>
      <c r="BH73" s="94">
        <v>0</v>
      </c>
    </row>
    <row r="74" spans="1:61" x14ac:dyDescent="0.2">
      <c r="A74" t="s">
        <v>466</v>
      </c>
      <c r="B74" s="31"/>
      <c r="C74" s="94" t="e">
        <f xml:space="preserve"> ROUNDDOWN(C118/1000,0)</f>
        <v>#REF!</v>
      </c>
      <c r="D74" s="94" t="e">
        <f t="shared" ref="D74:BH74" si="34" xml:space="preserve"> ROUNDDOWN(D118/1000,0)</f>
        <v>#REF!</v>
      </c>
      <c r="E74" s="94" t="e">
        <f t="shared" si="34"/>
        <v>#REF!</v>
      </c>
      <c r="F74" s="94" t="e">
        <f t="shared" si="34"/>
        <v>#REF!</v>
      </c>
      <c r="G74" s="94" t="e">
        <f t="shared" si="34"/>
        <v>#REF!</v>
      </c>
      <c r="H74" s="94" t="e">
        <f t="shared" si="34"/>
        <v>#REF!</v>
      </c>
      <c r="I74" s="94" t="e">
        <f t="shared" si="34"/>
        <v>#REF!</v>
      </c>
      <c r="J74" s="94" t="e">
        <f t="shared" si="34"/>
        <v>#REF!</v>
      </c>
      <c r="K74" s="94" t="e">
        <f t="shared" si="34"/>
        <v>#REF!</v>
      </c>
      <c r="L74" s="94" t="e">
        <f t="shared" si="34"/>
        <v>#REF!</v>
      </c>
      <c r="M74" s="94" t="e">
        <f t="shared" si="34"/>
        <v>#REF!</v>
      </c>
      <c r="N74" s="94" t="e">
        <f t="shared" si="34"/>
        <v>#REF!</v>
      </c>
      <c r="O74" s="94" t="e">
        <f t="shared" si="34"/>
        <v>#REF!</v>
      </c>
      <c r="P74" s="94" t="e">
        <f t="shared" si="34"/>
        <v>#REF!</v>
      </c>
      <c r="Q74" s="94" t="e">
        <f t="shared" si="34"/>
        <v>#REF!</v>
      </c>
      <c r="R74" s="94" t="e">
        <f t="shared" si="34"/>
        <v>#REF!</v>
      </c>
      <c r="S74" s="94" t="e">
        <f t="shared" si="34"/>
        <v>#REF!</v>
      </c>
      <c r="T74" s="94" t="e">
        <f t="shared" si="34"/>
        <v>#REF!</v>
      </c>
      <c r="U74" s="94" t="e">
        <f t="shared" si="34"/>
        <v>#REF!</v>
      </c>
      <c r="V74" s="94" t="e">
        <f t="shared" si="34"/>
        <v>#REF!</v>
      </c>
      <c r="W74" s="94" t="e">
        <f t="shared" si="34"/>
        <v>#REF!</v>
      </c>
      <c r="X74" s="94" t="e">
        <f t="shared" si="34"/>
        <v>#REF!</v>
      </c>
      <c r="Y74" s="94" t="e">
        <f t="shared" si="34"/>
        <v>#REF!</v>
      </c>
      <c r="Z74" s="94" t="e">
        <f t="shared" si="34"/>
        <v>#REF!</v>
      </c>
      <c r="AA74" s="94" t="e">
        <f t="shared" si="34"/>
        <v>#REF!</v>
      </c>
      <c r="AB74" s="94" t="e">
        <f t="shared" si="34"/>
        <v>#REF!</v>
      </c>
      <c r="AC74" s="94" t="e">
        <f t="shared" si="34"/>
        <v>#REF!</v>
      </c>
      <c r="AD74" s="94" t="e">
        <f t="shared" si="34"/>
        <v>#REF!</v>
      </c>
      <c r="AE74" s="94" t="e">
        <f t="shared" si="34"/>
        <v>#REF!</v>
      </c>
      <c r="AF74" s="94" t="e">
        <f t="shared" si="34"/>
        <v>#REF!</v>
      </c>
      <c r="AG74" s="94" t="e">
        <f t="shared" si="34"/>
        <v>#REF!</v>
      </c>
      <c r="AH74" s="94" t="e">
        <f t="shared" si="34"/>
        <v>#REF!</v>
      </c>
      <c r="AI74" s="94" t="e">
        <f t="shared" si="34"/>
        <v>#REF!</v>
      </c>
      <c r="AJ74" s="94" t="e">
        <f t="shared" si="34"/>
        <v>#REF!</v>
      </c>
      <c r="AK74" s="94" t="e">
        <f t="shared" si="34"/>
        <v>#REF!</v>
      </c>
      <c r="AL74" s="94" t="e">
        <f t="shared" si="34"/>
        <v>#REF!</v>
      </c>
      <c r="AM74" s="94" t="e">
        <f t="shared" si="34"/>
        <v>#REF!</v>
      </c>
      <c r="AN74" s="94" t="e">
        <f t="shared" si="34"/>
        <v>#REF!</v>
      </c>
      <c r="AO74" s="94" t="e">
        <f t="shared" si="34"/>
        <v>#REF!</v>
      </c>
      <c r="AP74" s="94" t="e">
        <f t="shared" si="34"/>
        <v>#REF!</v>
      </c>
      <c r="AQ74" s="94" t="e">
        <f t="shared" si="34"/>
        <v>#REF!</v>
      </c>
      <c r="AR74" s="94" t="e">
        <f t="shared" si="34"/>
        <v>#REF!</v>
      </c>
      <c r="AS74" s="94" t="e">
        <f t="shared" si="34"/>
        <v>#REF!</v>
      </c>
      <c r="AT74" s="94" t="e">
        <f t="shared" si="34"/>
        <v>#REF!</v>
      </c>
      <c r="AU74" s="94" t="e">
        <f t="shared" si="34"/>
        <v>#REF!</v>
      </c>
      <c r="AV74" s="94" t="e">
        <f t="shared" si="34"/>
        <v>#REF!</v>
      </c>
      <c r="AW74" s="94" t="e">
        <f t="shared" si="34"/>
        <v>#REF!</v>
      </c>
      <c r="AX74" s="94" t="e">
        <f t="shared" si="34"/>
        <v>#REF!</v>
      </c>
      <c r="AY74" s="94" t="e">
        <f t="shared" si="34"/>
        <v>#REF!</v>
      </c>
      <c r="AZ74" s="94" t="e">
        <f t="shared" si="34"/>
        <v>#REF!</v>
      </c>
      <c r="BA74" s="94" t="e">
        <f t="shared" si="34"/>
        <v>#REF!</v>
      </c>
      <c r="BB74" s="94" t="e">
        <f t="shared" si="34"/>
        <v>#REF!</v>
      </c>
      <c r="BC74" s="94" t="e">
        <f t="shared" si="34"/>
        <v>#REF!</v>
      </c>
      <c r="BD74" s="94" t="e">
        <f t="shared" si="34"/>
        <v>#REF!</v>
      </c>
      <c r="BE74" s="94" t="e">
        <f t="shared" si="34"/>
        <v>#REF!</v>
      </c>
      <c r="BF74" s="94" t="e">
        <f t="shared" si="34"/>
        <v>#REF!</v>
      </c>
      <c r="BG74" s="94" t="e">
        <f t="shared" si="34"/>
        <v>#REF!</v>
      </c>
      <c r="BH74" s="94" t="e">
        <f t="shared" si="34"/>
        <v>#REF!</v>
      </c>
    </row>
    <row r="75" spans="1:61" s="74" customFormat="1" hidden="1" x14ac:dyDescent="0.2">
      <c r="A75" s="74" t="s">
        <v>471</v>
      </c>
      <c r="B75" s="121"/>
      <c r="C75" s="75" t="e">
        <f>C73*'Levellized Salt Sep Plant'!$I$4</f>
        <v>#REF!</v>
      </c>
      <c r="D75" s="75" t="e">
        <f>D73*'Levellized Salt Sep Plant'!$I$4</f>
        <v>#REF!</v>
      </c>
      <c r="E75" s="75" t="e">
        <f>E73*'Levellized Salt Sep Plant'!$I$4</f>
        <v>#REF!</v>
      </c>
      <c r="F75" s="75" t="e">
        <f>F73*'Levellized Salt Sep Plant'!$I$4</f>
        <v>#REF!</v>
      </c>
      <c r="G75" s="75" t="e">
        <f>G73*'Levellized Salt Sep Plant'!$I$4</f>
        <v>#REF!</v>
      </c>
      <c r="H75" s="75" t="e">
        <f>H73*'Levellized Salt Sep Plant'!$I$4</f>
        <v>#REF!</v>
      </c>
      <c r="I75" s="75" t="e">
        <f>I73*'Levellized Salt Sep Plant'!$I$4</f>
        <v>#REF!</v>
      </c>
      <c r="J75" s="75" t="e">
        <f>J73*'Levellized Salt Sep Plant'!$I$4</f>
        <v>#REF!</v>
      </c>
      <c r="K75" s="75" t="e">
        <f>K73*'Levellized Salt Sep Plant'!$I$4</f>
        <v>#REF!</v>
      </c>
      <c r="L75" s="75" t="e">
        <f>L73*'Levellized Salt Sep Plant'!$I$4</f>
        <v>#REF!</v>
      </c>
      <c r="M75" s="75" t="e">
        <f>M73*'Levellized Salt Sep Plant'!$I$4</f>
        <v>#REF!</v>
      </c>
      <c r="N75" s="75" t="e">
        <f>N73*'Levellized Salt Sep Plant'!$I$4</f>
        <v>#REF!</v>
      </c>
      <c r="O75" s="75" t="e">
        <f>O73*'Levellized Salt Sep Plant'!$I$4</f>
        <v>#REF!</v>
      </c>
      <c r="P75" s="75" t="e">
        <f>P73*'Levellized Salt Sep Plant'!$I$4</f>
        <v>#REF!</v>
      </c>
      <c r="Q75" s="75" t="e">
        <f>Q73*'Levellized Salt Sep Plant'!$I$4</f>
        <v>#REF!</v>
      </c>
      <c r="R75" s="75" t="e">
        <f>R73*'Levellized Salt Sep Plant'!$I$4</f>
        <v>#REF!</v>
      </c>
      <c r="S75" s="75" t="e">
        <f>S73*'Levellized Salt Sep Plant'!$I$4</f>
        <v>#REF!</v>
      </c>
      <c r="T75" s="75" t="e">
        <f>T73*'Levellized Salt Sep Plant'!$I$4</f>
        <v>#REF!</v>
      </c>
      <c r="U75" s="75" t="e">
        <f>U73*'Levellized Salt Sep Plant'!$I$4</f>
        <v>#REF!</v>
      </c>
      <c r="V75" s="75" t="e">
        <f>V73*'Levellized Salt Sep Plant'!$I$4</f>
        <v>#REF!</v>
      </c>
      <c r="W75" s="75" t="e">
        <f>W73*'Levellized Salt Sep Plant'!$I$4</f>
        <v>#REF!</v>
      </c>
      <c r="X75" s="75" t="e">
        <f>X73*'Levellized Salt Sep Plant'!$I$4</f>
        <v>#REF!</v>
      </c>
      <c r="Y75" s="75" t="e">
        <f>Y73*'Levellized Salt Sep Plant'!$I$4</f>
        <v>#REF!</v>
      </c>
      <c r="Z75" s="75" t="e">
        <f>Z73*'Levellized Salt Sep Plant'!$I$4</f>
        <v>#REF!</v>
      </c>
      <c r="AA75" s="75" t="e">
        <f>AA73*'Levellized Salt Sep Plant'!$I$4</f>
        <v>#REF!</v>
      </c>
      <c r="AB75" s="75" t="e">
        <f>AB73*'Levellized Salt Sep Plant'!$I$4</f>
        <v>#REF!</v>
      </c>
      <c r="AC75" s="75" t="e">
        <f>AC73*'Levellized Salt Sep Plant'!$I$4</f>
        <v>#REF!</v>
      </c>
      <c r="AD75" s="75" t="e">
        <f>AD73*'Levellized Salt Sep Plant'!$I$4</f>
        <v>#REF!</v>
      </c>
      <c r="AE75" s="75" t="e">
        <f>AE73*'Levellized Salt Sep Plant'!$I$4</f>
        <v>#REF!</v>
      </c>
      <c r="AF75" s="75" t="e">
        <f>AF73*'Levellized Salt Sep Plant'!$I$4</f>
        <v>#REF!</v>
      </c>
      <c r="AG75" s="75" t="e">
        <f>AG73*'Levellized Salt Sep Plant'!$I$4</f>
        <v>#REF!</v>
      </c>
      <c r="AH75" s="75" t="e">
        <f>AH73*'Levellized Salt Sep Plant'!$I$4</f>
        <v>#REF!</v>
      </c>
      <c r="AI75" s="75" t="e">
        <f>AI73*'Levellized Salt Sep Plant'!$I$4</f>
        <v>#REF!</v>
      </c>
      <c r="AJ75" s="75" t="e">
        <f>AJ73*'Levellized Salt Sep Plant'!$I$4</f>
        <v>#REF!</v>
      </c>
      <c r="AK75" s="75" t="e">
        <f>AK73*'Levellized Salt Sep Plant'!$I$4</f>
        <v>#REF!</v>
      </c>
      <c r="AL75" s="75" t="e">
        <f>AL73*'Levellized Salt Sep Plant'!$I$4</f>
        <v>#REF!</v>
      </c>
      <c r="AM75" s="75">
        <f>AM73*'Levellized Salt Sep Plant'!$I$4</f>
        <v>0</v>
      </c>
      <c r="AN75" s="75">
        <f>AN73*'Levellized Salt Sep Plant'!$I$4</f>
        <v>0</v>
      </c>
      <c r="AO75" s="75">
        <f>AO73*'Levellized Salt Sep Plant'!$I$4</f>
        <v>0</v>
      </c>
      <c r="AP75" s="75">
        <f>AP73*'Levellized Salt Sep Plant'!$I$4</f>
        <v>0</v>
      </c>
      <c r="AQ75" s="75">
        <f>AQ73*'Levellized Salt Sep Plant'!$I$4</f>
        <v>0</v>
      </c>
      <c r="AR75" s="75">
        <f>AR73*'Levellized Salt Sep Plant'!$I$4</f>
        <v>0</v>
      </c>
      <c r="AS75" s="75">
        <f>AS73*'Levellized Salt Sep Plant'!$I$4</f>
        <v>0</v>
      </c>
      <c r="AT75" s="75">
        <f>AT73*'Levellized Salt Sep Plant'!$I$4</f>
        <v>0</v>
      </c>
      <c r="AU75" s="75">
        <f>AU73*'Levellized Salt Sep Plant'!$I$4</f>
        <v>0</v>
      </c>
      <c r="AV75" s="75">
        <f>AV73*'Levellized Salt Sep Plant'!$I$4</f>
        <v>0</v>
      </c>
      <c r="AW75" s="75">
        <f>AW73*'Levellized Salt Sep Plant'!$I$4</f>
        <v>0</v>
      </c>
      <c r="AX75" s="75">
        <f>AX73*'Levellized Salt Sep Plant'!$I$4</f>
        <v>0</v>
      </c>
      <c r="AY75" s="75">
        <f>AY73*'Levellized Salt Sep Plant'!$I$4</f>
        <v>0</v>
      </c>
      <c r="AZ75" s="75">
        <f>AZ73*'Levellized Salt Sep Plant'!$I$4</f>
        <v>0</v>
      </c>
      <c r="BA75" s="75">
        <f>BA73*'Levellized Salt Sep Plant'!$I$4</f>
        <v>0</v>
      </c>
      <c r="BB75" s="75">
        <f>BB73*'Levellized Salt Sep Plant'!$I$4</f>
        <v>0</v>
      </c>
      <c r="BC75" s="75">
        <f>BC73*'Levellized Salt Sep Plant'!$I$4</f>
        <v>0</v>
      </c>
      <c r="BD75" s="75">
        <f>BD73*'Levellized Salt Sep Plant'!$I$4</f>
        <v>0</v>
      </c>
      <c r="BE75" s="75">
        <f>BE73*'Levellized Salt Sep Plant'!$I$4</f>
        <v>0</v>
      </c>
      <c r="BF75" s="75">
        <f>BF73*'Levellized Salt Sep Plant'!$I$4</f>
        <v>0</v>
      </c>
      <c r="BG75" s="75">
        <f>BG73*'Levellized Salt Sep Plant'!$I$4</f>
        <v>0</v>
      </c>
      <c r="BH75" s="75">
        <f>BH73*'Levellized Salt Sep Plant'!$I$4</f>
        <v>0</v>
      </c>
      <c r="BI75" s="75"/>
    </row>
    <row r="76" spans="1:61" s="74" customFormat="1" hidden="1" x14ac:dyDescent="0.2">
      <c r="A76" s="74" t="s">
        <v>472</v>
      </c>
      <c r="B76" s="121"/>
      <c r="C76" s="75" t="e">
        <f>C74*'Levellized Salt Sep Plant'!$I$25</f>
        <v>#REF!</v>
      </c>
      <c r="D76" s="75" t="e">
        <f>D74*'Levellized Salt Sep Plant'!$I$25</f>
        <v>#REF!</v>
      </c>
      <c r="E76" s="75" t="e">
        <f>E74*'Levellized Salt Sep Plant'!$I$25</f>
        <v>#REF!</v>
      </c>
      <c r="F76" s="75" t="e">
        <f>F74*'Levellized Salt Sep Plant'!$I$25</f>
        <v>#REF!</v>
      </c>
      <c r="G76" s="75" t="e">
        <f>G74*'Levellized Salt Sep Plant'!$I$25</f>
        <v>#REF!</v>
      </c>
      <c r="H76" s="75" t="e">
        <f>H74*'Levellized Salt Sep Plant'!$I$25</f>
        <v>#REF!</v>
      </c>
      <c r="I76" s="75" t="e">
        <f>I74*'Levellized Salt Sep Plant'!$I$25</f>
        <v>#REF!</v>
      </c>
      <c r="J76" s="75" t="e">
        <f>J74*'Levellized Salt Sep Plant'!$I$25</f>
        <v>#REF!</v>
      </c>
      <c r="K76" s="75" t="e">
        <f>K74*'Levellized Salt Sep Plant'!$I$25</f>
        <v>#REF!</v>
      </c>
      <c r="L76" s="75" t="e">
        <f>L74*'Levellized Salt Sep Plant'!$I$25</f>
        <v>#REF!</v>
      </c>
      <c r="M76" s="75" t="e">
        <f>M74*'Levellized Salt Sep Plant'!$I$25</f>
        <v>#REF!</v>
      </c>
      <c r="N76" s="75" t="e">
        <f>N74*'Levellized Salt Sep Plant'!$I$25</f>
        <v>#REF!</v>
      </c>
      <c r="O76" s="75" t="e">
        <f>O74*'Levellized Salt Sep Plant'!$I$25</f>
        <v>#REF!</v>
      </c>
      <c r="P76" s="75" t="e">
        <f>P74*'Levellized Salt Sep Plant'!$I$25</f>
        <v>#REF!</v>
      </c>
      <c r="Q76" s="75" t="e">
        <f>Q74*'Levellized Salt Sep Plant'!$I$25</f>
        <v>#REF!</v>
      </c>
      <c r="R76" s="75" t="e">
        <f>R74*'Levellized Salt Sep Plant'!$I$25</f>
        <v>#REF!</v>
      </c>
      <c r="S76" s="75" t="e">
        <f>S74*'Levellized Salt Sep Plant'!$I$25</f>
        <v>#REF!</v>
      </c>
      <c r="T76" s="75" t="e">
        <f>T74*'Levellized Salt Sep Plant'!$I$25</f>
        <v>#REF!</v>
      </c>
      <c r="U76" s="75" t="e">
        <f>U74*'Levellized Salt Sep Plant'!$I$25</f>
        <v>#REF!</v>
      </c>
      <c r="V76" s="75" t="e">
        <f>V74*'Levellized Salt Sep Plant'!$I$25</f>
        <v>#REF!</v>
      </c>
      <c r="W76" s="75" t="e">
        <f>W74*'Levellized Salt Sep Plant'!$I$25</f>
        <v>#REF!</v>
      </c>
      <c r="X76" s="75" t="e">
        <f>X74*'Levellized Salt Sep Plant'!$I$25</f>
        <v>#REF!</v>
      </c>
      <c r="Y76" s="75" t="e">
        <f>Y74*'Levellized Salt Sep Plant'!$I$25</f>
        <v>#REF!</v>
      </c>
      <c r="Z76" s="75" t="e">
        <f>Z74*'Levellized Salt Sep Plant'!$I$25</f>
        <v>#REF!</v>
      </c>
      <c r="AA76" s="75" t="e">
        <f>AA74*'Levellized Salt Sep Plant'!$I$25</f>
        <v>#REF!</v>
      </c>
      <c r="AB76" s="75" t="e">
        <f>AB74*'Levellized Salt Sep Plant'!$I$25</f>
        <v>#REF!</v>
      </c>
      <c r="AC76" s="75" t="e">
        <f>AC74*'Levellized Salt Sep Plant'!$I$25</f>
        <v>#REF!</v>
      </c>
      <c r="AD76" s="75" t="e">
        <f>AD74*'Levellized Salt Sep Plant'!$I$25</f>
        <v>#REF!</v>
      </c>
      <c r="AE76" s="75" t="e">
        <f>AE74*'Levellized Salt Sep Plant'!$I$25</f>
        <v>#REF!</v>
      </c>
      <c r="AF76" s="75" t="e">
        <f>AF74*'Levellized Salt Sep Plant'!$I$25</f>
        <v>#REF!</v>
      </c>
      <c r="AG76" s="75" t="e">
        <f>AG74*'Levellized Salt Sep Plant'!$I$25</f>
        <v>#REF!</v>
      </c>
      <c r="AH76" s="75" t="e">
        <f>AH74*'Levellized Salt Sep Plant'!$I$25</f>
        <v>#REF!</v>
      </c>
      <c r="AI76" s="75" t="e">
        <f>AI74*'Levellized Salt Sep Plant'!$I$25</f>
        <v>#REF!</v>
      </c>
      <c r="AJ76" s="75" t="e">
        <f>AJ74*'Levellized Salt Sep Plant'!$I$25</f>
        <v>#REF!</v>
      </c>
      <c r="AK76" s="75" t="e">
        <f>AK74*'Levellized Salt Sep Plant'!$I$25</f>
        <v>#REF!</v>
      </c>
      <c r="AL76" s="75" t="e">
        <f>AL74*'Levellized Salt Sep Plant'!$I$25</f>
        <v>#REF!</v>
      </c>
      <c r="AM76" s="75" t="e">
        <f>AM74*'Levellized Salt Sep Plant'!$I$25</f>
        <v>#REF!</v>
      </c>
      <c r="AN76" s="75" t="e">
        <f>AN74*'Levellized Salt Sep Plant'!$I$25</f>
        <v>#REF!</v>
      </c>
      <c r="AO76" s="75" t="e">
        <f>AO74*'Levellized Salt Sep Plant'!$I$25</f>
        <v>#REF!</v>
      </c>
      <c r="AP76" s="75" t="e">
        <f>AP74*'Levellized Salt Sep Plant'!$I$25</f>
        <v>#REF!</v>
      </c>
      <c r="AQ76" s="75" t="e">
        <f>AQ74*'Levellized Salt Sep Plant'!$I$25</f>
        <v>#REF!</v>
      </c>
      <c r="AR76" s="75" t="e">
        <f>AR74*'Levellized Salt Sep Plant'!$I$25</f>
        <v>#REF!</v>
      </c>
      <c r="AS76" s="75" t="e">
        <f>AS74*'Levellized Salt Sep Plant'!$I$25</f>
        <v>#REF!</v>
      </c>
      <c r="AT76" s="75" t="e">
        <f>AT74*'Levellized Salt Sep Plant'!$I$25</f>
        <v>#REF!</v>
      </c>
      <c r="AU76" s="75" t="e">
        <f>AU74*'Levellized Salt Sep Plant'!$I$25</f>
        <v>#REF!</v>
      </c>
      <c r="AV76" s="75" t="e">
        <f>AV74*'Levellized Salt Sep Plant'!$I$25</f>
        <v>#REF!</v>
      </c>
      <c r="AW76" s="75" t="e">
        <f>AW74*'Levellized Salt Sep Plant'!$I$25</f>
        <v>#REF!</v>
      </c>
      <c r="AX76" s="75" t="e">
        <f>AX74*'Levellized Salt Sep Plant'!$I$25</f>
        <v>#REF!</v>
      </c>
      <c r="AY76" s="75" t="e">
        <f>AY74*'Levellized Salt Sep Plant'!$I$25</f>
        <v>#REF!</v>
      </c>
      <c r="AZ76" s="75" t="e">
        <f>AZ74*'Levellized Salt Sep Plant'!$I$25</f>
        <v>#REF!</v>
      </c>
      <c r="BA76" s="75" t="e">
        <f>BA74*'Levellized Salt Sep Plant'!$I$25</f>
        <v>#REF!</v>
      </c>
      <c r="BB76" s="75" t="e">
        <f>BB74*'Levellized Salt Sep Plant'!$I$25</f>
        <v>#REF!</v>
      </c>
      <c r="BC76" s="75" t="e">
        <f>BC74*'Levellized Salt Sep Plant'!$I$25</f>
        <v>#REF!</v>
      </c>
      <c r="BD76" s="75" t="e">
        <f>BD74*'Levellized Salt Sep Plant'!$I$25</f>
        <v>#REF!</v>
      </c>
      <c r="BE76" s="75" t="e">
        <f>BE74*'Levellized Salt Sep Plant'!$I$25</f>
        <v>#REF!</v>
      </c>
      <c r="BF76" s="75" t="e">
        <f>BF74*'Levellized Salt Sep Plant'!$I$25</f>
        <v>#REF!</v>
      </c>
      <c r="BG76" s="75" t="e">
        <f>BG74*'Levellized Salt Sep Plant'!$I$25</f>
        <v>#REF!</v>
      </c>
      <c r="BH76" s="75" t="e">
        <f>BH74*'Levellized Salt Sep Plant'!$I$25</f>
        <v>#REF!</v>
      </c>
      <c r="BI76" s="75"/>
    </row>
    <row r="77" spans="1:61" s="74" customFormat="1" hidden="1" x14ac:dyDescent="0.2">
      <c r="A77" s="74" t="s">
        <v>518</v>
      </c>
      <c r="B77" s="121"/>
      <c r="C77" s="75" t="e">
        <f>C74*'Levellized Salt Sep Plant'!$I$30</f>
        <v>#REF!</v>
      </c>
      <c r="D77" s="75" t="e">
        <f>D74*'Levellized Salt Sep Plant'!$I$30</f>
        <v>#REF!</v>
      </c>
      <c r="E77" s="75" t="e">
        <f>E74*'Levellized Salt Sep Plant'!$I$30</f>
        <v>#REF!</v>
      </c>
      <c r="F77" s="75" t="e">
        <f>F74*'Levellized Salt Sep Plant'!$I$30</f>
        <v>#REF!</v>
      </c>
      <c r="G77" s="75" t="e">
        <f>G74*'Levellized Salt Sep Plant'!$I$30</f>
        <v>#REF!</v>
      </c>
      <c r="H77" s="75" t="e">
        <f>H74*'Levellized Salt Sep Plant'!$I$30</f>
        <v>#REF!</v>
      </c>
      <c r="I77" s="75" t="e">
        <f>I74*'Levellized Salt Sep Plant'!$I$30</f>
        <v>#REF!</v>
      </c>
      <c r="J77" s="75" t="e">
        <f>J74*'Levellized Salt Sep Plant'!$I$30</f>
        <v>#REF!</v>
      </c>
      <c r="K77" s="75" t="e">
        <f>K74*'Levellized Salt Sep Plant'!$I$30</f>
        <v>#REF!</v>
      </c>
      <c r="L77" s="75" t="e">
        <f>L74*'Levellized Salt Sep Plant'!$I$30</f>
        <v>#REF!</v>
      </c>
      <c r="M77" s="75" t="e">
        <f>M74*'Levellized Salt Sep Plant'!$I$30</f>
        <v>#REF!</v>
      </c>
      <c r="N77" s="75" t="e">
        <f>N74*'Levellized Salt Sep Plant'!$I$30</f>
        <v>#REF!</v>
      </c>
      <c r="O77" s="75" t="e">
        <f>O74*'Levellized Salt Sep Plant'!$I$30</f>
        <v>#REF!</v>
      </c>
      <c r="P77" s="75" t="e">
        <f>P74*'Levellized Salt Sep Plant'!$I$30</f>
        <v>#REF!</v>
      </c>
      <c r="Q77" s="75" t="e">
        <f>Q74*'Levellized Salt Sep Plant'!$I$30</f>
        <v>#REF!</v>
      </c>
      <c r="R77" s="75" t="e">
        <f>R74*'Levellized Salt Sep Plant'!$I$30</f>
        <v>#REF!</v>
      </c>
      <c r="S77" s="75" t="e">
        <f>S74*'Levellized Salt Sep Plant'!$I$30</f>
        <v>#REF!</v>
      </c>
      <c r="T77" s="75" t="e">
        <f>T74*'Levellized Salt Sep Plant'!$I$30</f>
        <v>#REF!</v>
      </c>
      <c r="U77" s="75" t="e">
        <f>U74*'Levellized Salt Sep Plant'!$I$30</f>
        <v>#REF!</v>
      </c>
      <c r="V77" s="75" t="e">
        <f>V74*'Levellized Salt Sep Plant'!$I$30</f>
        <v>#REF!</v>
      </c>
      <c r="W77" s="75" t="e">
        <f>W74*'Levellized Salt Sep Plant'!$I$30</f>
        <v>#REF!</v>
      </c>
      <c r="X77" s="75" t="e">
        <f>X74*'Levellized Salt Sep Plant'!$I$30</f>
        <v>#REF!</v>
      </c>
      <c r="Y77" s="75" t="e">
        <f>Y74*'Levellized Salt Sep Plant'!$I$30</f>
        <v>#REF!</v>
      </c>
      <c r="Z77" s="75" t="e">
        <f>Z74*'Levellized Salt Sep Plant'!$I$30</f>
        <v>#REF!</v>
      </c>
      <c r="AA77" s="75" t="e">
        <f>AA74*'Levellized Salt Sep Plant'!$I$30</f>
        <v>#REF!</v>
      </c>
      <c r="AB77" s="75" t="e">
        <f>AB74*'Levellized Salt Sep Plant'!$I$30</f>
        <v>#REF!</v>
      </c>
      <c r="AC77" s="75" t="e">
        <f>AC74*'Levellized Salt Sep Plant'!$I$30</f>
        <v>#REF!</v>
      </c>
      <c r="AD77" s="75" t="e">
        <f>AD74*'Levellized Salt Sep Plant'!$I$30</f>
        <v>#REF!</v>
      </c>
      <c r="AE77" s="75" t="e">
        <f>AE74*'Levellized Salt Sep Plant'!$I$30</f>
        <v>#REF!</v>
      </c>
      <c r="AF77" s="75" t="e">
        <f>AF74*'Levellized Salt Sep Plant'!$I$30</f>
        <v>#REF!</v>
      </c>
      <c r="AG77" s="75" t="e">
        <f>AG74*'Levellized Salt Sep Plant'!$I$30</f>
        <v>#REF!</v>
      </c>
      <c r="AH77" s="75" t="e">
        <f>AH74*'Levellized Salt Sep Plant'!$I$30</f>
        <v>#REF!</v>
      </c>
      <c r="AI77" s="75" t="e">
        <f>AI74*'Levellized Salt Sep Plant'!$I$30</f>
        <v>#REF!</v>
      </c>
      <c r="AJ77" s="75" t="e">
        <f>AJ74*'Levellized Salt Sep Plant'!$I$30</f>
        <v>#REF!</v>
      </c>
      <c r="AK77" s="75" t="e">
        <f>AK74*'Levellized Salt Sep Plant'!$I$30</f>
        <v>#REF!</v>
      </c>
      <c r="AL77" s="75" t="e">
        <f>AL74*'Levellized Salt Sep Plant'!$I$30</f>
        <v>#REF!</v>
      </c>
      <c r="AM77" s="75" t="e">
        <f>AM74*'Levellized Salt Sep Plant'!$I$30</f>
        <v>#REF!</v>
      </c>
      <c r="AN77" s="75" t="e">
        <f>AN74*'Levellized Salt Sep Plant'!$I$30</f>
        <v>#REF!</v>
      </c>
      <c r="AO77" s="75" t="e">
        <f>AO74*'Levellized Salt Sep Plant'!$I$30</f>
        <v>#REF!</v>
      </c>
      <c r="AP77" s="75" t="e">
        <f>AP74*'Levellized Salt Sep Plant'!$I$30</f>
        <v>#REF!</v>
      </c>
      <c r="AQ77" s="75" t="e">
        <f>AQ74*'Levellized Salt Sep Plant'!$I$30</f>
        <v>#REF!</v>
      </c>
      <c r="AR77" s="75" t="e">
        <f>AR74*'Levellized Salt Sep Plant'!$I$30</f>
        <v>#REF!</v>
      </c>
      <c r="AS77" s="75" t="e">
        <f>AS74*'Levellized Salt Sep Plant'!$I$30</f>
        <v>#REF!</v>
      </c>
      <c r="AT77" s="75" t="e">
        <f>AT74*'Levellized Salt Sep Plant'!$I$30</f>
        <v>#REF!</v>
      </c>
      <c r="AU77" s="75" t="e">
        <f>AU74*'Levellized Salt Sep Plant'!$I$30</f>
        <v>#REF!</v>
      </c>
      <c r="AV77" s="75" t="e">
        <f>AV74*'Levellized Salt Sep Plant'!$I$30</f>
        <v>#REF!</v>
      </c>
      <c r="AW77" s="75" t="e">
        <f>AW74*'Levellized Salt Sep Plant'!$I$30</f>
        <v>#REF!</v>
      </c>
      <c r="AX77" s="75" t="e">
        <f>AX74*'Levellized Salt Sep Plant'!$I$30</f>
        <v>#REF!</v>
      </c>
      <c r="AY77" s="75" t="e">
        <f>AY74*'Levellized Salt Sep Plant'!$I$30</f>
        <v>#REF!</v>
      </c>
      <c r="AZ77" s="75" t="e">
        <f>AZ74*'Levellized Salt Sep Plant'!$I$30</f>
        <v>#REF!</v>
      </c>
      <c r="BA77" s="75" t="e">
        <f>BA74*'Levellized Salt Sep Plant'!$I$30</f>
        <v>#REF!</v>
      </c>
      <c r="BB77" s="75" t="e">
        <f>BB74*'Levellized Salt Sep Plant'!$I$30</f>
        <v>#REF!</v>
      </c>
      <c r="BC77" s="75" t="e">
        <f>BC74*'Levellized Salt Sep Plant'!$I$30</f>
        <v>#REF!</v>
      </c>
      <c r="BD77" s="75" t="e">
        <f>BD74*'Levellized Salt Sep Plant'!$I$30</f>
        <v>#REF!</v>
      </c>
      <c r="BE77" s="75" t="e">
        <f>BE74*'Levellized Salt Sep Plant'!$I$30</f>
        <v>#REF!</v>
      </c>
      <c r="BF77" s="75" t="e">
        <f>BF74*'Levellized Salt Sep Plant'!$I$30</f>
        <v>#REF!</v>
      </c>
      <c r="BG77" s="75" t="e">
        <f>BG74*'Levellized Salt Sep Plant'!$I$30</f>
        <v>#REF!</v>
      </c>
      <c r="BH77" s="75" t="e">
        <f>BH74*'Levellized Salt Sep Plant'!$I$30</f>
        <v>#REF!</v>
      </c>
      <c r="BI77" s="75"/>
    </row>
    <row r="78" spans="1:61" x14ac:dyDescent="0.2">
      <c r="B78" s="3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</row>
    <row r="79" spans="1:61" x14ac:dyDescent="0.2">
      <c r="A79" t="s">
        <v>505</v>
      </c>
      <c r="B79" s="31"/>
      <c r="C79" s="82" t="e">
        <f t="shared" ref="C79:BH79" si="35" xml:space="preserve"> IF(C74 &gt; 0, C90/(C90+C80), 0)</f>
        <v>#REF!</v>
      </c>
      <c r="D79" s="82" t="e">
        <f t="shared" si="35"/>
        <v>#REF!</v>
      </c>
      <c r="E79" s="82" t="e">
        <f t="shared" si="35"/>
        <v>#REF!</v>
      </c>
      <c r="F79" s="82" t="e">
        <f t="shared" si="35"/>
        <v>#REF!</v>
      </c>
      <c r="G79" s="82" t="e">
        <f t="shared" si="35"/>
        <v>#REF!</v>
      </c>
      <c r="H79" s="82" t="e">
        <f t="shared" si="35"/>
        <v>#REF!</v>
      </c>
      <c r="I79" s="82" t="e">
        <f t="shared" si="35"/>
        <v>#REF!</v>
      </c>
      <c r="J79" s="82" t="e">
        <f t="shared" si="35"/>
        <v>#REF!</v>
      </c>
      <c r="K79" s="82" t="e">
        <f t="shared" si="35"/>
        <v>#REF!</v>
      </c>
      <c r="L79" s="82" t="e">
        <f t="shared" si="35"/>
        <v>#REF!</v>
      </c>
      <c r="M79" s="82" t="e">
        <f t="shared" si="35"/>
        <v>#REF!</v>
      </c>
      <c r="N79" s="82" t="e">
        <f t="shared" si="35"/>
        <v>#REF!</v>
      </c>
      <c r="O79" s="82" t="e">
        <f t="shared" si="35"/>
        <v>#REF!</v>
      </c>
      <c r="P79" s="82" t="e">
        <f t="shared" si="35"/>
        <v>#REF!</v>
      </c>
      <c r="Q79" s="82" t="e">
        <f t="shared" si="35"/>
        <v>#REF!</v>
      </c>
      <c r="R79" s="82" t="e">
        <f t="shared" si="35"/>
        <v>#REF!</v>
      </c>
      <c r="S79" s="82" t="e">
        <f t="shared" si="35"/>
        <v>#REF!</v>
      </c>
      <c r="T79" s="82" t="e">
        <f t="shared" si="35"/>
        <v>#REF!</v>
      </c>
      <c r="U79" s="82" t="e">
        <f t="shared" si="35"/>
        <v>#REF!</v>
      </c>
      <c r="V79" s="82" t="e">
        <f t="shared" si="35"/>
        <v>#REF!</v>
      </c>
      <c r="W79" s="82" t="e">
        <f t="shared" si="35"/>
        <v>#REF!</v>
      </c>
      <c r="X79" s="82" t="e">
        <f t="shared" si="35"/>
        <v>#REF!</v>
      </c>
      <c r="Y79" s="82" t="e">
        <f t="shared" si="35"/>
        <v>#REF!</v>
      </c>
      <c r="Z79" s="82" t="e">
        <f t="shared" si="35"/>
        <v>#REF!</v>
      </c>
      <c r="AA79" s="82" t="e">
        <f t="shared" si="35"/>
        <v>#REF!</v>
      </c>
      <c r="AB79" s="82" t="e">
        <f t="shared" si="35"/>
        <v>#REF!</v>
      </c>
      <c r="AC79" s="82" t="e">
        <f t="shared" si="35"/>
        <v>#REF!</v>
      </c>
      <c r="AD79" s="82" t="e">
        <f t="shared" si="35"/>
        <v>#REF!</v>
      </c>
      <c r="AE79" s="82" t="e">
        <f t="shared" si="35"/>
        <v>#REF!</v>
      </c>
      <c r="AF79" s="82" t="e">
        <f t="shared" si="35"/>
        <v>#REF!</v>
      </c>
      <c r="AG79" s="82" t="e">
        <f t="shared" si="35"/>
        <v>#REF!</v>
      </c>
      <c r="AH79" s="82" t="e">
        <f t="shared" si="35"/>
        <v>#REF!</v>
      </c>
      <c r="AI79" s="82" t="e">
        <f t="shared" si="35"/>
        <v>#REF!</v>
      </c>
      <c r="AJ79" s="82" t="e">
        <f t="shared" si="35"/>
        <v>#REF!</v>
      </c>
      <c r="AK79" s="82" t="e">
        <f t="shared" si="35"/>
        <v>#REF!</v>
      </c>
      <c r="AL79" s="82" t="e">
        <f t="shared" si="35"/>
        <v>#REF!</v>
      </c>
      <c r="AM79" s="82" t="e">
        <f t="shared" si="35"/>
        <v>#REF!</v>
      </c>
      <c r="AN79" s="82" t="e">
        <f t="shared" si="35"/>
        <v>#REF!</v>
      </c>
      <c r="AO79" s="82" t="e">
        <f t="shared" si="35"/>
        <v>#REF!</v>
      </c>
      <c r="AP79" s="82" t="e">
        <f t="shared" si="35"/>
        <v>#REF!</v>
      </c>
      <c r="AQ79" s="82" t="e">
        <f t="shared" si="35"/>
        <v>#REF!</v>
      </c>
      <c r="AR79" s="82" t="e">
        <f t="shared" si="35"/>
        <v>#REF!</v>
      </c>
      <c r="AS79" s="82" t="e">
        <f t="shared" si="35"/>
        <v>#REF!</v>
      </c>
      <c r="AT79" s="82" t="e">
        <f t="shared" si="35"/>
        <v>#REF!</v>
      </c>
      <c r="AU79" s="82" t="e">
        <f t="shared" si="35"/>
        <v>#REF!</v>
      </c>
      <c r="AV79" s="82" t="e">
        <f t="shared" si="35"/>
        <v>#REF!</v>
      </c>
      <c r="AW79" s="82" t="e">
        <f t="shared" si="35"/>
        <v>#REF!</v>
      </c>
      <c r="AX79" s="82" t="e">
        <f t="shared" si="35"/>
        <v>#REF!</v>
      </c>
      <c r="AY79" s="82" t="e">
        <f t="shared" si="35"/>
        <v>#REF!</v>
      </c>
      <c r="AZ79" s="82" t="e">
        <f t="shared" si="35"/>
        <v>#REF!</v>
      </c>
      <c r="BA79" s="82" t="e">
        <f t="shared" si="35"/>
        <v>#REF!</v>
      </c>
      <c r="BB79" s="82" t="e">
        <f t="shared" si="35"/>
        <v>#REF!</v>
      </c>
      <c r="BC79" s="82" t="e">
        <f t="shared" si="35"/>
        <v>#REF!</v>
      </c>
      <c r="BD79" s="82" t="e">
        <f t="shared" si="35"/>
        <v>#REF!</v>
      </c>
      <c r="BE79" s="82" t="e">
        <f t="shared" si="35"/>
        <v>#REF!</v>
      </c>
      <c r="BF79" s="82" t="e">
        <f t="shared" si="35"/>
        <v>#REF!</v>
      </c>
      <c r="BG79" s="82" t="e">
        <f t="shared" si="35"/>
        <v>#REF!</v>
      </c>
      <c r="BH79" s="82" t="e">
        <f t="shared" si="35"/>
        <v>#REF!</v>
      </c>
      <c r="BI79" s="82"/>
    </row>
    <row r="80" spans="1:61" x14ac:dyDescent="0.2">
      <c r="A80" t="s">
        <v>506</v>
      </c>
      <c r="B80" s="31"/>
      <c r="C80" s="5" t="e">
        <f>IF((C74*'Levellized Salt Sep Plant'!$I$41-C90)&gt;0,(C74*'Levellized Salt Sep Plant'!$I$41-C90),0)</f>
        <v>#REF!</v>
      </c>
      <c r="D80" s="5" t="e">
        <f>IF((D74*'Levellized Salt Sep Plant'!$I$41-D90)&gt;0,(D74*'Levellized Salt Sep Plant'!$I$41-D90),0)</f>
        <v>#REF!</v>
      </c>
      <c r="E80" s="5" t="e">
        <f>IF((E74*'Levellized Salt Sep Plant'!$I$41-E90)&gt;0,(E74*'Levellized Salt Sep Plant'!$I$41-E90),0)</f>
        <v>#REF!</v>
      </c>
      <c r="F80" s="5" t="e">
        <f>IF((F74*'Levellized Salt Sep Plant'!$I$41-F90)&gt;0,(F74*'Levellized Salt Sep Plant'!$I$41-F90),0)</f>
        <v>#REF!</v>
      </c>
      <c r="G80" s="5" t="e">
        <f>IF((G74*'Levellized Salt Sep Plant'!$I$41-G90)&gt;0,(G74*'Levellized Salt Sep Plant'!$I$41-G90),0)</f>
        <v>#REF!</v>
      </c>
      <c r="H80" s="5" t="e">
        <f>IF((H74*'Levellized Salt Sep Plant'!$I$41-H90)&gt;0,(H74*'Levellized Salt Sep Plant'!$I$41-H90),0)</f>
        <v>#REF!</v>
      </c>
      <c r="I80" s="5" t="e">
        <f>IF((I74*'Levellized Salt Sep Plant'!$I$41-I90)&gt;0,(I74*'Levellized Salt Sep Plant'!$I$41-I90),0)</f>
        <v>#REF!</v>
      </c>
      <c r="J80" s="5" t="e">
        <f>IF((J74*'Levellized Salt Sep Plant'!$I$41-J90)&gt;0,(J74*'Levellized Salt Sep Plant'!$I$41-J90),0)</f>
        <v>#REF!</v>
      </c>
      <c r="K80" s="5" t="e">
        <f>IF((K74*'Levellized Salt Sep Plant'!$I$41-K90)&gt;0,(K74*'Levellized Salt Sep Plant'!$I$41-K90),0)</f>
        <v>#REF!</v>
      </c>
      <c r="L80" s="5" t="e">
        <f>IF((L74*'Levellized Salt Sep Plant'!$I$41-L90)&gt;0,(L74*'Levellized Salt Sep Plant'!$I$41-L90),0)</f>
        <v>#REF!</v>
      </c>
      <c r="M80" s="5" t="e">
        <f>IF((M74*'Levellized Salt Sep Plant'!$I$41-M90)&gt;0,(M74*'Levellized Salt Sep Plant'!$I$41-M90),0)</f>
        <v>#REF!</v>
      </c>
      <c r="N80" s="5" t="e">
        <f>IF((N74*'Levellized Salt Sep Plant'!$I$41-N90)&gt;0,(N74*'Levellized Salt Sep Plant'!$I$41-N90),0)</f>
        <v>#REF!</v>
      </c>
      <c r="O80" s="5" t="e">
        <f>IF((O74*'Levellized Salt Sep Plant'!$I$41-O90)&gt;0,(O74*'Levellized Salt Sep Plant'!$I$41-O90),0)</f>
        <v>#REF!</v>
      </c>
      <c r="P80" s="5" t="e">
        <f>IF((P74*'Levellized Salt Sep Plant'!$I$41-P90)&gt;0,(P74*'Levellized Salt Sep Plant'!$I$41-P90),0)</f>
        <v>#REF!</v>
      </c>
      <c r="Q80" s="5" t="e">
        <f>IF((Q74*'Levellized Salt Sep Plant'!$I$41-Q90)&gt;0,(Q74*'Levellized Salt Sep Plant'!$I$41-Q90),0)</f>
        <v>#REF!</v>
      </c>
      <c r="R80" s="5" t="e">
        <f>IF((R74*'Levellized Salt Sep Plant'!$I$41-R90)&gt;0,(R74*'Levellized Salt Sep Plant'!$I$41-R90),0)</f>
        <v>#REF!</v>
      </c>
      <c r="S80" s="5" t="e">
        <f>IF((S74*'Levellized Salt Sep Plant'!$I$41-S90)&gt;0,(S74*'Levellized Salt Sep Plant'!$I$41-S90),0)</f>
        <v>#REF!</v>
      </c>
      <c r="T80" s="5" t="e">
        <f>IF((T74*'Levellized Salt Sep Plant'!$I$41-T90)&gt;0,(T74*'Levellized Salt Sep Plant'!$I$41-T90),0)</f>
        <v>#REF!</v>
      </c>
      <c r="U80" s="5" t="e">
        <f>IF((U74*'Levellized Salt Sep Plant'!$I$41-U90)&gt;0,(U74*'Levellized Salt Sep Plant'!$I$41-U90),0)</f>
        <v>#REF!</v>
      </c>
      <c r="V80" s="5" t="e">
        <f>IF((V74*'Levellized Salt Sep Plant'!$I$41-V90)&gt;0,(V74*'Levellized Salt Sep Plant'!$I$41-V90),0)</f>
        <v>#REF!</v>
      </c>
      <c r="W80" s="5" t="e">
        <f>IF((W74*'Levellized Salt Sep Plant'!$I$41-W90)&gt;0,(W74*'Levellized Salt Sep Plant'!$I$41-W90),0)</f>
        <v>#REF!</v>
      </c>
      <c r="X80" s="5" t="e">
        <f>IF((X74*'Levellized Salt Sep Plant'!$I$41-X90)&gt;0,(X74*'Levellized Salt Sep Plant'!$I$41-X90),0)</f>
        <v>#REF!</v>
      </c>
      <c r="Y80" s="5" t="e">
        <f>IF((Y74*'Levellized Salt Sep Plant'!$I$41-Y90)&gt;0,(Y74*'Levellized Salt Sep Plant'!$I$41-Y90),0)</f>
        <v>#REF!</v>
      </c>
      <c r="Z80" s="5" t="e">
        <f>IF((Z74*'Levellized Salt Sep Plant'!$I$41-Z90)&gt;0,(Z74*'Levellized Salt Sep Plant'!$I$41-Z90),0)</f>
        <v>#REF!</v>
      </c>
      <c r="AA80" s="5" t="e">
        <f>IF((AA74*'Levellized Salt Sep Plant'!$I$41-AA90)&gt;0,(AA74*'Levellized Salt Sep Plant'!$I$41-AA90),0)</f>
        <v>#REF!</v>
      </c>
      <c r="AB80" s="5" t="e">
        <f>IF((AB74*'Levellized Salt Sep Plant'!$I$41-AB90)&gt;0,(AB74*'Levellized Salt Sep Plant'!$I$41-AB90),0)</f>
        <v>#REF!</v>
      </c>
      <c r="AC80" s="5" t="e">
        <f>IF((AC74*'Levellized Salt Sep Plant'!$I$41-AC90)&gt;0,(AC74*'Levellized Salt Sep Plant'!$I$41-AC90),0)</f>
        <v>#REF!</v>
      </c>
      <c r="AD80" s="5" t="e">
        <f>IF((AD74*'Levellized Salt Sep Plant'!$I$41-AD90)&gt;0,(AD74*'Levellized Salt Sep Plant'!$I$41-AD90),0)</f>
        <v>#REF!</v>
      </c>
      <c r="AE80" s="5" t="e">
        <f>IF((AE74*'Levellized Salt Sep Plant'!$I$41-AE90)&gt;0,(AE74*'Levellized Salt Sep Plant'!$I$41-AE90),0)</f>
        <v>#REF!</v>
      </c>
      <c r="AF80" s="5" t="e">
        <f>IF((AF74*'Levellized Salt Sep Plant'!$I$41-AF90)&gt;0,(AF74*'Levellized Salt Sep Plant'!$I$41-AF90),0)</f>
        <v>#REF!</v>
      </c>
      <c r="AG80" s="5" t="e">
        <f>IF((AG74*'Levellized Salt Sep Plant'!$I$41-AG90)&gt;0,(AG74*'Levellized Salt Sep Plant'!$I$41-AG90),0)</f>
        <v>#REF!</v>
      </c>
      <c r="AH80" s="5" t="e">
        <f>IF((AH74*'Levellized Salt Sep Plant'!$I$41-AH90)&gt;0,(AH74*'Levellized Salt Sep Plant'!$I$41-AH90),0)</f>
        <v>#REF!</v>
      </c>
      <c r="AI80" s="5" t="e">
        <f>IF((AI74*'Levellized Salt Sep Plant'!$I$41-AI90)&gt;0,(AI74*'Levellized Salt Sep Plant'!$I$41-AI90),0)</f>
        <v>#REF!</v>
      </c>
      <c r="AJ80" s="5" t="e">
        <f>IF((AJ74*'Levellized Salt Sep Plant'!$I$41-AJ90)&gt;0,(AJ74*'Levellized Salt Sep Plant'!$I$41-AJ90),0)</f>
        <v>#REF!</v>
      </c>
      <c r="AK80" s="5" t="e">
        <f>IF((AK74*'Levellized Salt Sep Plant'!$I$41-AK90)&gt;0,(AK74*'Levellized Salt Sep Plant'!$I$41-AK90),0)</f>
        <v>#REF!</v>
      </c>
      <c r="AL80" s="5" t="e">
        <f>IF((AL74*'Levellized Salt Sep Plant'!$I$41-AL90)&gt;0,(AL74*'Levellized Salt Sep Plant'!$I$41-AL90),0)</f>
        <v>#REF!</v>
      </c>
      <c r="AM80" s="5" t="e">
        <f>IF((AM74*'Levellized Salt Sep Plant'!$I$41-AM90)&gt;0,(AM74*'Levellized Salt Sep Plant'!$I$41-AM90),0)</f>
        <v>#REF!</v>
      </c>
      <c r="AN80" s="5" t="e">
        <f>IF((AN74*'Levellized Salt Sep Plant'!$I$41-AN90)&gt;0,(AN74*'Levellized Salt Sep Plant'!$I$41-AN90),0)</f>
        <v>#REF!</v>
      </c>
      <c r="AO80" s="5" t="e">
        <f>IF((AO74*'Levellized Salt Sep Plant'!$I$41-AO90)&gt;0,(AO74*'Levellized Salt Sep Plant'!$I$41-AO90),0)</f>
        <v>#REF!</v>
      </c>
      <c r="AP80" s="5" t="e">
        <f>IF((AP74*'Levellized Salt Sep Plant'!$I$41-AP90)&gt;0,(AP74*'Levellized Salt Sep Plant'!$I$41-AP90),0)</f>
        <v>#REF!</v>
      </c>
      <c r="AQ80" s="5" t="e">
        <f>IF((AQ74*'Levellized Salt Sep Plant'!$I$41-AQ90)&gt;0,(AQ74*'Levellized Salt Sep Plant'!$I$41-AQ90),0)</f>
        <v>#REF!</v>
      </c>
      <c r="AR80" s="5" t="e">
        <f>IF((AR74*'Levellized Salt Sep Plant'!$I$41-AR90)&gt;0,(AR74*'Levellized Salt Sep Plant'!$I$41-AR90),0)</f>
        <v>#REF!</v>
      </c>
      <c r="AS80" s="5" t="e">
        <f>IF((AS74*'Levellized Salt Sep Plant'!$I$41-AS90)&gt;0,(AS74*'Levellized Salt Sep Plant'!$I$41-AS90),0)</f>
        <v>#REF!</v>
      </c>
      <c r="AT80" s="5" t="e">
        <f>IF((AT74*'Levellized Salt Sep Plant'!$I$41-AT90)&gt;0,(AT74*'Levellized Salt Sep Plant'!$I$41-AT90),0)</f>
        <v>#REF!</v>
      </c>
      <c r="AU80" s="5" t="e">
        <f>IF((AU74*'Levellized Salt Sep Plant'!$I$41-AU90)&gt;0,(AU74*'Levellized Salt Sep Plant'!$I$41-AU90),0)</f>
        <v>#REF!</v>
      </c>
      <c r="AV80" s="5" t="e">
        <f>IF((AV74*'Levellized Salt Sep Plant'!$I$41-AV90)&gt;0,(AV74*'Levellized Salt Sep Plant'!$I$41-AV90),0)</f>
        <v>#REF!</v>
      </c>
      <c r="AW80" s="5" t="e">
        <f>IF((AW74*'Levellized Salt Sep Plant'!$I$41-AW90)&gt;0,(AW74*'Levellized Salt Sep Plant'!$I$41-AW90),0)</f>
        <v>#REF!</v>
      </c>
      <c r="AX80" s="5" t="e">
        <f>IF((AX74*'Levellized Salt Sep Plant'!$I$41-AX90)&gt;0,(AX74*'Levellized Salt Sep Plant'!$I$41-AX90),0)</f>
        <v>#REF!</v>
      </c>
      <c r="AY80" s="5" t="e">
        <f>IF((AY74*'Levellized Salt Sep Plant'!$I$41-AY90)&gt;0,(AY74*'Levellized Salt Sep Plant'!$I$41-AY90),0)</f>
        <v>#REF!</v>
      </c>
      <c r="AZ80" s="5" t="e">
        <f>IF((AZ74*'Levellized Salt Sep Plant'!$I$41-AZ90)&gt;0,(AZ74*'Levellized Salt Sep Plant'!$I$41-AZ90),0)</f>
        <v>#REF!</v>
      </c>
      <c r="BA80" s="5" t="e">
        <f>IF((BA74*'Levellized Salt Sep Plant'!$I$41-BA90)&gt;0,(BA74*'Levellized Salt Sep Plant'!$I$41-BA90),0)</f>
        <v>#REF!</v>
      </c>
      <c r="BB80" s="5" t="e">
        <f>IF((BB74*'Levellized Salt Sep Plant'!$I$41-BB90)&gt;0,(BB74*'Levellized Salt Sep Plant'!$I$41-BB90),0)</f>
        <v>#REF!</v>
      </c>
      <c r="BC80" s="5" t="e">
        <f>IF((BC74*'Levellized Salt Sep Plant'!$I$41-BC90)&gt;0,(BC74*'Levellized Salt Sep Plant'!$I$41-BC90),0)</f>
        <v>#REF!</v>
      </c>
      <c r="BD80" s="5" t="e">
        <f>IF((BD74*'Levellized Salt Sep Plant'!$I$41-BD90)&gt;0,(BD74*'Levellized Salt Sep Plant'!$I$41-BD90),0)</f>
        <v>#REF!</v>
      </c>
      <c r="BE80" s="5" t="e">
        <f>IF((BE74*'Levellized Salt Sep Plant'!$I$41-BE90)&gt;0,(BE74*'Levellized Salt Sep Plant'!$I$41-BE90),0)</f>
        <v>#REF!</v>
      </c>
      <c r="BF80" s="5" t="e">
        <f>IF((BF74*'Levellized Salt Sep Plant'!$I$41-BF90)&gt;0,(BF74*'Levellized Salt Sep Plant'!$I$41-BF90),0)</f>
        <v>#REF!</v>
      </c>
      <c r="BG80" s="5" t="e">
        <f>IF((BG74*'Levellized Salt Sep Plant'!$I$41-BG90)&gt;0,(BG74*'Levellized Salt Sep Plant'!$I$41-BG90),0)</f>
        <v>#REF!</v>
      </c>
      <c r="BH80" s="5" t="e">
        <f>IF((BH74*'Levellized Salt Sep Plant'!$I$41-BH90)&gt;0,(BH74*'Levellized Salt Sep Plant'!$I$41-BH90),0)</f>
        <v>#REF!</v>
      </c>
      <c r="BI80" s="5"/>
    </row>
    <row r="81" spans="1:61" s="74" customFormat="1" hidden="1" x14ac:dyDescent="0.2">
      <c r="A81" s="74" t="s">
        <v>10</v>
      </c>
      <c r="B81" s="121"/>
      <c r="C81" s="75" t="e">
        <f>IF(C73&gt;0,(D83-C83) * 'Salt Evaporation Pond Costs'!$B$46,0)</f>
        <v>#REF!</v>
      </c>
      <c r="D81" s="75" t="e">
        <f>IF(D73&gt;0,(E83-D83) * 'Salt Evaporation Pond Costs'!$B$46,0)</f>
        <v>#REF!</v>
      </c>
      <c r="E81" s="75" t="e">
        <f>IF(E73&gt;0,(F83-E83) * 'Salt Evaporation Pond Costs'!$B$46,0)</f>
        <v>#REF!</v>
      </c>
      <c r="F81" s="75" t="e">
        <f>IF(F73&gt;0,(G83-F83) * 'Salt Evaporation Pond Costs'!$B$46,0)</f>
        <v>#REF!</v>
      </c>
      <c r="G81" s="75" t="e">
        <f>IF(G73&gt;0,(H83-G83) * 'Salt Evaporation Pond Costs'!$B$46,0)</f>
        <v>#REF!</v>
      </c>
      <c r="H81" s="75" t="e">
        <f>IF(H73&gt;0,(I83-H83) * 'Salt Evaporation Pond Costs'!$B$46,0)</f>
        <v>#REF!</v>
      </c>
      <c r="I81" s="75" t="e">
        <f>IF(I73&gt;0,(J83-I83) * 'Salt Evaporation Pond Costs'!$B$46,0)</f>
        <v>#REF!</v>
      </c>
      <c r="J81" s="75" t="e">
        <f>IF(J73&gt;0,(K83-J83) * 'Salt Evaporation Pond Costs'!$B$46,0)</f>
        <v>#REF!</v>
      </c>
      <c r="K81" s="75" t="e">
        <f>IF(K73&gt;0,(L83-K83) * 'Salt Evaporation Pond Costs'!$B$46,0)</f>
        <v>#REF!</v>
      </c>
      <c r="L81" s="75" t="e">
        <f>IF(L73&gt;0,(M83-L83) * 'Salt Evaporation Pond Costs'!$B$46,0)</f>
        <v>#REF!</v>
      </c>
      <c r="M81" s="75" t="e">
        <f>IF(M73&gt;0,(N83-M83) * 'Salt Evaporation Pond Costs'!$B$46,0)</f>
        <v>#REF!</v>
      </c>
      <c r="N81" s="75" t="e">
        <f>IF(N73&gt;0,(O83-N83) * 'Salt Evaporation Pond Costs'!$B$46,0)</f>
        <v>#REF!</v>
      </c>
      <c r="O81" s="75" t="e">
        <f>IF(O73&gt;0,(P83-O83) * 'Salt Evaporation Pond Costs'!$B$46,0)</f>
        <v>#REF!</v>
      </c>
      <c r="P81" s="75" t="e">
        <f>IF(P73&gt;0,(Q83-P83) * 'Salt Evaporation Pond Costs'!$B$46,0)</f>
        <v>#REF!</v>
      </c>
      <c r="Q81" s="75" t="e">
        <f>IF(Q73&gt;0,(R83-Q83) * 'Salt Evaporation Pond Costs'!$B$46,0)</f>
        <v>#REF!</v>
      </c>
      <c r="R81" s="75" t="e">
        <f>IF(R73&gt;0,(S83-R83) * 'Salt Evaporation Pond Costs'!$B$46,0)</f>
        <v>#REF!</v>
      </c>
      <c r="S81" s="75" t="e">
        <f>IF(S73&gt;0,(T83-S83) * 'Salt Evaporation Pond Costs'!$B$46,0)</f>
        <v>#REF!</v>
      </c>
      <c r="T81" s="75" t="e">
        <f>IF(T73&gt;0,(U83-T83) * 'Salt Evaporation Pond Costs'!$B$46,0)</f>
        <v>#REF!</v>
      </c>
      <c r="U81" s="75" t="e">
        <f>IF(U73&gt;0,(V83-U83) * 'Salt Evaporation Pond Costs'!$B$46,0)</f>
        <v>#REF!</v>
      </c>
      <c r="V81" s="75" t="e">
        <f>IF(V73&gt;0,(W83-V83) * 'Salt Evaporation Pond Costs'!$B$46,0)</f>
        <v>#REF!</v>
      </c>
      <c r="W81" s="75" t="e">
        <f>IF(W73&gt;0,(X83-W83) * 'Salt Evaporation Pond Costs'!$B$46,0)</f>
        <v>#REF!</v>
      </c>
      <c r="X81" s="75" t="e">
        <f>IF(X73&gt;0,(Y83-X83) * 'Salt Evaporation Pond Costs'!$B$46,0)</f>
        <v>#REF!</v>
      </c>
      <c r="Y81" s="75" t="e">
        <f>IF(Y73&gt;0,(Z83-Y83) * 'Salt Evaporation Pond Costs'!$B$46,0)</f>
        <v>#REF!</v>
      </c>
      <c r="Z81" s="75" t="e">
        <f>IF(Z73&gt;0,(AA83-Z83) * 'Salt Evaporation Pond Costs'!$B$46,0)</f>
        <v>#REF!</v>
      </c>
      <c r="AA81" s="75" t="e">
        <f>IF(AA73&gt;0,(AB83-AA83) * 'Salt Evaporation Pond Costs'!$B$46,0)</f>
        <v>#REF!</v>
      </c>
      <c r="AB81" s="75" t="e">
        <f>IF(AB73&gt;0,(AC83-AB83) * 'Salt Evaporation Pond Costs'!$B$46,0)</f>
        <v>#REF!</v>
      </c>
      <c r="AC81" s="75" t="e">
        <f>IF(AC73&gt;0,(AD83-AC83) * 'Salt Evaporation Pond Costs'!$B$46,0)</f>
        <v>#REF!</v>
      </c>
      <c r="AD81" s="75" t="e">
        <f>IF(AD73&gt;0,(AE83-AD83) * 'Salt Evaporation Pond Costs'!$B$46,0)</f>
        <v>#REF!</v>
      </c>
      <c r="AE81" s="75" t="e">
        <f>IF(AE73&gt;0,(AF83-AE83) * 'Salt Evaporation Pond Costs'!$B$46,0)</f>
        <v>#REF!</v>
      </c>
      <c r="AF81" s="75" t="e">
        <f>IF(AF73&gt;0,(AG83-AF83) * 'Salt Evaporation Pond Costs'!$B$46,0)</f>
        <v>#REF!</v>
      </c>
      <c r="AG81" s="75" t="e">
        <f>IF(AG73&gt;0,(AH83-AG83) * 'Salt Evaporation Pond Costs'!$B$46,0)</f>
        <v>#REF!</v>
      </c>
      <c r="AH81" s="75" t="e">
        <f>IF(AH73&gt;0,(AI83-AH83) * 'Salt Evaporation Pond Costs'!$B$46,0)</f>
        <v>#REF!</v>
      </c>
      <c r="AI81" s="75" t="e">
        <f>IF(AI73&gt;0,(AJ83-AI83) * 'Salt Evaporation Pond Costs'!$B$46,0)</f>
        <v>#REF!</v>
      </c>
      <c r="AJ81" s="75" t="e">
        <f>IF(AJ73&gt;0,(AK83-AJ83) * 'Salt Evaporation Pond Costs'!$B$46,0)</f>
        <v>#REF!</v>
      </c>
      <c r="AK81" s="75" t="e">
        <f>IF(AK73&gt;0,(AL83-AK83) * 'Salt Evaporation Pond Costs'!$B$46,0)</f>
        <v>#REF!</v>
      </c>
      <c r="AL81" s="75" t="e">
        <f>IF(AL73&gt;0,(AM83-AL83) * 'Salt Evaporation Pond Costs'!$B$46,0)</f>
        <v>#REF!</v>
      </c>
      <c r="AM81" s="75">
        <f>IF(AM73&gt;0,(BI83-AM83) * 'Salt Evaporation Pond Costs'!$B$46,0)</f>
        <v>0</v>
      </c>
      <c r="AN81" s="75">
        <f>IF(AN73&gt;0,(BJ83-AN83) * 'Salt Evaporation Pond Costs'!$B$46,0)</f>
        <v>0</v>
      </c>
      <c r="AO81" s="75">
        <f>IF(AO73&gt;0,(BK83-AO83) * 'Salt Evaporation Pond Costs'!$B$46,0)</f>
        <v>0</v>
      </c>
      <c r="AP81" s="75">
        <f>IF(AP73&gt;0,(BL83-AP83) * 'Salt Evaporation Pond Costs'!$B$46,0)</f>
        <v>0</v>
      </c>
      <c r="AQ81" s="75">
        <f>IF(AQ73&gt;0,(BM83-AQ83) * 'Salt Evaporation Pond Costs'!$B$46,0)</f>
        <v>0</v>
      </c>
      <c r="AR81" s="75">
        <f>IF(AR73&gt;0,(BN83-AR83) * 'Salt Evaporation Pond Costs'!$B$46,0)</f>
        <v>0</v>
      </c>
      <c r="AS81" s="75">
        <f>IF(AS73&gt;0,(BO83-AS83) * 'Salt Evaporation Pond Costs'!$B$46,0)</f>
        <v>0</v>
      </c>
      <c r="AT81" s="75">
        <f>IF(AT73&gt;0,(BP83-AT83) * 'Salt Evaporation Pond Costs'!$B$46,0)</f>
        <v>0</v>
      </c>
      <c r="AU81" s="75">
        <f>IF(AU73&gt;0,(BQ83-AU83) * 'Salt Evaporation Pond Costs'!$B$46,0)</f>
        <v>0</v>
      </c>
      <c r="AV81" s="75">
        <f>IF(AV73&gt;0,(BR83-AV83) * 'Salt Evaporation Pond Costs'!$B$46,0)</f>
        <v>0</v>
      </c>
      <c r="AW81" s="75">
        <f>IF(AW73&gt;0,(BS83-AW83) * 'Salt Evaporation Pond Costs'!$B$46,0)</f>
        <v>0</v>
      </c>
      <c r="AX81" s="75">
        <f>IF(AX73&gt;0,(BT83-AX83) * 'Salt Evaporation Pond Costs'!$B$46,0)</f>
        <v>0</v>
      </c>
      <c r="AY81" s="75">
        <f>IF(AY73&gt;0,(BU83-AY83) * 'Salt Evaporation Pond Costs'!$B$46,0)</f>
        <v>0</v>
      </c>
      <c r="AZ81" s="75">
        <f>IF(AZ73&gt;0,(BV83-AZ83) * 'Salt Evaporation Pond Costs'!$B$46,0)</f>
        <v>0</v>
      </c>
      <c r="BA81" s="75">
        <f>IF(BA73&gt;0,(BW83-BA83) * 'Salt Evaporation Pond Costs'!$B$46,0)</f>
        <v>0</v>
      </c>
      <c r="BB81" s="75">
        <f>IF(BB73&gt;0,(BX83-BB83) * 'Salt Evaporation Pond Costs'!$B$46,0)</f>
        <v>0</v>
      </c>
      <c r="BC81" s="75">
        <f>IF(BC73&gt;0,(BY83-BC83) * 'Salt Evaporation Pond Costs'!$B$46,0)</f>
        <v>0</v>
      </c>
      <c r="BD81" s="75">
        <f>IF(BD73&gt;0,(BZ83-BD83) * 'Salt Evaporation Pond Costs'!$B$46,0)</f>
        <v>0</v>
      </c>
      <c r="BE81" s="75">
        <f>IF(BE73&gt;0,(CA83-BE83) * 'Salt Evaporation Pond Costs'!$B$46,0)</f>
        <v>0</v>
      </c>
      <c r="BF81" s="75">
        <f>IF(BF73&gt;0,(CB83-BF83) * 'Salt Evaporation Pond Costs'!$B$46,0)</f>
        <v>0</v>
      </c>
      <c r="BG81" s="75">
        <f>IF(BG73&gt;0,(CC83-BG83) * 'Salt Evaporation Pond Costs'!$B$46,0)</f>
        <v>0</v>
      </c>
      <c r="BH81" s="75">
        <f>IF(BH73&gt;0,(CD83-BH83) * 'Salt Evaporation Pond Costs'!$B$46,0)</f>
        <v>0</v>
      </c>
      <c r="BI81" s="75"/>
    </row>
    <row r="82" spans="1:61" s="74" customFormat="1" hidden="1" x14ac:dyDescent="0.2">
      <c r="A82" s="74" t="s">
        <v>11</v>
      </c>
      <c r="B82" s="121"/>
      <c r="C82" s="75" t="e">
        <f>C83 * 'Salt Evaporation Pond Costs'!$B$53</f>
        <v>#REF!</v>
      </c>
      <c r="D82" s="75" t="e">
        <f>D83 * 'Salt Evaporation Pond Costs'!$B$53</f>
        <v>#REF!</v>
      </c>
      <c r="E82" s="75" t="e">
        <f>E83 * 'Salt Evaporation Pond Costs'!$B$53</f>
        <v>#REF!</v>
      </c>
      <c r="F82" s="75" t="e">
        <f>F83 * 'Salt Evaporation Pond Costs'!$B$53</f>
        <v>#REF!</v>
      </c>
      <c r="G82" s="75" t="e">
        <f>G83 * 'Salt Evaporation Pond Costs'!$B$53</f>
        <v>#REF!</v>
      </c>
      <c r="H82" s="75" t="e">
        <f>H83 * 'Salt Evaporation Pond Costs'!$B$53</f>
        <v>#REF!</v>
      </c>
      <c r="I82" s="75" t="e">
        <f>I83 * 'Salt Evaporation Pond Costs'!$B$53</f>
        <v>#REF!</v>
      </c>
      <c r="J82" s="75" t="e">
        <f>J83 * 'Salt Evaporation Pond Costs'!$B$53</f>
        <v>#REF!</v>
      </c>
      <c r="K82" s="75" t="e">
        <f>K83 * 'Salt Evaporation Pond Costs'!$B$53</f>
        <v>#REF!</v>
      </c>
      <c r="L82" s="75" t="e">
        <f>L83 * 'Salt Evaporation Pond Costs'!$B$53</f>
        <v>#REF!</v>
      </c>
      <c r="M82" s="75" t="e">
        <f>M83 * 'Salt Evaporation Pond Costs'!$B$53</f>
        <v>#REF!</v>
      </c>
      <c r="N82" s="75" t="e">
        <f>N83 * 'Salt Evaporation Pond Costs'!$B$53</f>
        <v>#REF!</v>
      </c>
      <c r="O82" s="75" t="e">
        <f>O83 * 'Salt Evaporation Pond Costs'!$B$53</f>
        <v>#REF!</v>
      </c>
      <c r="P82" s="75" t="e">
        <f>P83 * 'Salt Evaporation Pond Costs'!$B$53</f>
        <v>#REF!</v>
      </c>
      <c r="Q82" s="75" t="e">
        <f>Q83 * 'Salt Evaporation Pond Costs'!$B$53</f>
        <v>#REF!</v>
      </c>
      <c r="R82" s="75" t="e">
        <f>R83 * 'Salt Evaporation Pond Costs'!$B$53</f>
        <v>#REF!</v>
      </c>
      <c r="S82" s="75" t="e">
        <f>S83 * 'Salt Evaporation Pond Costs'!$B$53</f>
        <v>#REF!</v>
      </c>
      <c r="T82" s="75" t="e">
        <f>T83 * 'Salt Evaporation Pond Costs'!$B$53</f>
        <v>#REF!</v>
      </c>
      <c r="U82" s="75" t="e">
        <f>U83 * 'Salt Evaporation Pond Costs'!$B$53</f>
        <v>#REF!</v>
      </c>
      <c r="V82" s="75" t="e">
        <f>V83 * 'Salt Evaporation Pond Costs'!$B$53</f>
        <v>#REF!</v>
      </c>
      <c r="W82" s="75" t="e">
        <f>W83 * 'Salt Evaporation Pond Costs'!$B$53</f>
        <v>#REF!</v>
      </c>
      <c r="X82" s="75" t="e">
        <f>X83 * 'Salt Evaporation Pond Costs'!$B$53</f>
        <v>#REF!</v>
      </c>
      <c r="Y82" s="75" t="e">
        <f>Y83 * 'Salt Evaporation Pond Costs'!$B$53</f>
        <v>#REF!</v>
      </c>
      <c r="Z82" s="75" t="e">
        <f>Z83 * 'Salt Evaporation Pond Costs'!$B$53</f>
        <v>#REF!</v>
      </c>
      <c r="AA82" s="75" t="e">
        <f>AA83 * 'Salt Evaporation Pond Costs'!$B$53</f>
        <v>#REF!</v>
      </c>
      <c r="AB82" s="75" t="e">
        <f>AB83 * 'Salt Evaporation Pond Costs'!$B$53</f>
        <v>#REF!</v>
      </c>
      <c r="AC82" s="75" t="e">
        <f>AC83 * 'Salt Evaporation Pond Costs'!$B$53</f>
        <v>#REF!</v>
      </c>
      <c r="AD82" s="75" t="e">
        <f>AD83 * 'Salt Evaporation Pond Costs'!$B$53</f>
        <v>#REF!</v>
      </c>
      <c r="AE82" s="75" t="e">
        <f>AE83 * 'Salt Evaporation Pond Costs'!$B$53</f>
        <v>#REF!</v>
      </c>
      <c r="AF82" s="75" t="e">
        <f>AF83 * 'Salt Evaporation Pond Costs'!$B$53</f>
        <v>#REF!</v>
      </c>
      <c r="AG82" s="75" t="e">
        <f>AG83 * 'Salt Evaporation Pond Costs'!$B$53</f>
        <v>#REF!</v>
      </c>
      <c r="AH82" s="75" t="e">
        <f>AH83 * 'Salt Evaporation Pond Costs'!$B$53</f>
        <v>#REF!</v>
      </c>
      <c r="AI82" s="75" t="e">
        <f>AI83 * 'Salt Evaporation Pond Costs'!$B$53</f>
        <v>#REF!</v>
      </c>
      <c r="AJ82" s="75" t="e">
        <f>AJ83 * 'Salt Evaporation Pond Costs'!$B$53</f>
        <v>#REF!</v>
      </c>
      <c r="AK82" s="75" t="e">
        <f>AK83 * 'Salt Evaporation Pond Costs'!$B$53</f>
        <v>#REF!</v>
      </c>
      <c r="AL82" s="75" t="e">
        <f>AL83 * 'Salt Evaporation Pond Costs'!$B$53</f>
        <v>#REF!</v>
      </c>
      <c r="AM82" s="75" t="e">
        <f>AM83 * 'Salt Evaporation Pond Costs'!$B$53</f>
        <v>#REF!</v>
      </c>
      <c r="AN82" s="75" t="e">
        <f>AN83 * 'Salt Evaporation Pond Costs'!$B$53</f>
        <v>#REF!</v>
      </c>
      <c r="AO82" s="75" t="e">
        <f>AO83 * 'Salt Evaporation Pond Costs'!$B$53</f>
        <v>#REF!</v>
      </c>
      <c r="AP82" s="75" t="e">
        <f>AP83 * 'Salt Evaporation Pond Costs'!$B$53</f>
        <v>#REF!</v>
      </c>
      <c r="AQ82" s="75" t="e">
        <f>AQ83 * 'Salt Evaporation Pond Costs'!$B$53</f>
        <v>#REF!</v>
      </c>
      <c r="AR82" s="75" t="e">
        <f>AR83 * 'Salt Evaporation Pond Costs'!$B$53</f>
        <v>#REF!</v>
      </c>
      <c r="AS82" s="75" t="e">
        <f>AS83 * 'Salt Evaporation Pond Costs'!$B$53</f>
        <v>#REF!</v>
      </c>
      <c r="AT82" s="75" t="e">
        <f>AT83 * 'Salt Evaporation Pond Costs'!$B$53</f>
        <v>#REF!</v>
      </c>
      <c r="AU82" s="75" t="e">
        <f>AU83 * 'Salt Evaporation Pond Costs'!$B$53</f>
        <v>#REF!</v>
      </c>
      <c r="AV82" s="75" t="e">
        <f>AV83 * 'Salt Evaporation Pond Costs'!$B$53</f>
        <v>#REF!</v>
      </c>
      <c r="AW82" s="75" t="e">
        <f>AW83 * 'Salt Evaporation Pond Costs'!$B$53</f>
        <v>#REF!</v>
      </c>
      <c r="AX82" s="75" t="e">
        <f>AX83 * 'Salt Evaporation Pond Costs'!$B$53</f>
        <v>#REF!</v>
      </c>
      <c r="AY82" s="75" t="e">
        <f>AY83 * 'Salt Evaporation Pond Costs'!$B$53</f>
        <v>#REF!</v>
      </c>
      <c r="AZ82" s="75" t="e">
        <f>AZ83 * 'Salt Evaporation Pond Costs'!$B$53</f>
        <v>#REF!</v>
      </c>
      <c r="BA82" s="75" t="e">
        <f>BA83 * 'Salt Evaporation Pond Costs'!$B$53</f>
        <v>#REF!</v>
      </c>
      <c r="BB82" s="75" t="e">
        <f>BB83 * 'Salt Evaporation Pond Costs'!$B$53</f>
        <v>#REF!</v>
      </c>
      <c r="BC82" s="75" t="e">
        <f>BC83 * 'Salt Evaporation Pond Costs'!$B$53</f>
        <v>#REF!</v>
      </c>
      <c r="BD82" s="75" t="e">
        <f>BD83 * 'Salt Evaporation Pond Costs'!$B$53</f>
        <v>#REF!</v>
      </c>
      <c r="BE82" s="75" t="e">
        <f>BE83 * 'Salt Evaporation Pond Costs'!$B$53</f>
        <v>#REF!</v>
      </c>
      <c r="BF82" s="75" t="e">
        <f>BF83 * 'Salt Evaporation Pond Costs'!$B$53</f>
        <v>#REF!</v>
      </c>
      <c r="BG82" s="75" t="e">
        <f>BG83 * 'Salt Evaporation Pond Costs'!$B$53</f>
        <v>#REF!</v>
      </c>
      <c r="BH82" s="75" t="e">
        <f>BH83 * 'Salt Evaporation Pond Costs'!$B$53</f>
        <v>#REF!</v>
      </c>
      <c r="BI82" s="75"/>
    </row>
    <row r="83" spans="1:61" s="100" customFormat="1" x14ac:dyDescent="0.2">
      <c r="A83" s="100" t="s">
        <v>495</v>
      </c>
      <c r="B83" s="122"/>
      <c r="C83" s="101" t="e">
        <f xml:space="preserve"> C80 / 'Salt Evaporation Pond Costs'!$B$62</f>
        <v>#REF!</v>
      </c>
      <c r="D83" s="101" t="e">
        <f xml:space="preserve"> D80 / 'Salt Evaporation Pond Costs'!$B$62</f>
        <v>#REF!</v>
      </c>
      <c r="E83" s="101" t="e">
        <f xml:space="preserve"> E80 / 'Salt Evaporation Pond Costs'!$B$62</f>
        <v>#REF!</v>
      </c>
      <c r="F83" s="101" t="e">
        <f xml:space="preserve"> F80 / 'Salt Evaporation Pond Costs'!$B$62</f>
        <v>#REF!</v>
      </c>
      <c r="G83" s="101" t="e">
        <f xml:space="preserve"> G80 / 'Salt Evaporation Pond Costs'!$B$62</f>
        <v>#REF!</v>
      </c>
      <c r="H83" s="101" t="e">
        <f xml:space="preserve"> H80 / 'Salt Evaporation Pond Costs'!$B$62</f>
        <v>#REF!</v>
      </c>
      <c r="I83" s="101" t="e">
        <f xml:space="preserve"> I80 / 'Salt Evaporation Pond Costs'!$B$62</f>
        <v>#REF!</v>
      </c>
      <c r="J83" s="101" t="e">
        <f xml:space="preserve"> J80 / 'Salt Evaporation Pond Costs'!$B$62</f>
        <v>#REF!</v>
      </c>
      <c r="K83" s="101" t="e">
        <f xml:space="preserve"> K80 / 'Salt Evaporation Pond Costs'!$B$62</f>
        <v>#REF!</v>
      </c>
      <c r="L83" s="101" t="e">
        <f xml:space="preserve"> L80 / 'Salt Evaporation Pond Costs'!$B$62</f>
        <v>#REF!</v>
      </c>
      <c r="M83" s="101" t="e">
        <f xml:space="preserve"> M80 / 'Salt Evaporation Pond Costs'!$B$62</f>
        <v>#REF!</v>
      </c>
      <c r="N83" s="101" t="e">
        <f xml:space="preserve"> N80 / 'Salt Evaporation Pond Costs'!$B$62</f>
        <v>#REF!</v>
      </c>
      <c r="O83" s="101" t="e">
        <f xml:space="preserve"> O80 / 'Salt Evaporation Pond Costs'!$B$62</f>
        <v>#REF!</v>
      </c>
      <c r="P83" s="101" t="e">
        <f xml:space="preserve"> P80 / 'Salt Evaporation Pond Costs'!$B$62</f>
        <v>#REF!</v>
      </c>
      <c r="Q83" s="101" t="e">
        <f xml:space="preserve"> Q80 / 'Salt Evaporation Pond Costs'!$B$62</f>
        <v>#REF!</v>
      </c>
      <c r="R83" s="101" t="e">
        <f xml:space="preserve"> R80 / 'Salt Evaporation Pond Costs'!$B$62</f>
        <v>#REF!</v>
      </c>
      <c r="S83" s="101" t="e">
        <f xml:space="preserve"> S80 / 'Salt Evaporation Pond Costs'!$B$62</f>
        <v>#REF!</v>
      </c>
      <c r="T83" s="101" t="e">
        <f xml:space="preserve"> T80 / 'Salt Evaporation Pond Costs'!$B$62</f>
        <v>#REF!</v>
      </c>
      <c r="U83" s="101" t="e">
        <f xml:space="preserve"> U80 / 'Salt Evaporation Pond Costs'!$B$62</f>
        <v>#REF!</v>
      </c>
      <c r="V83" s="101" t="e">
        <f xml:space="preserve"> V80 / 'Salt Evaporation Pond Costs'!$B$62</f>
        <v>#REF!</v>
      </c>
      <c r="W83" s="101" t="e">
        <f xml:space="preserve"> W80 / 'Salt Evaporation Pond Costs'!$B$62</f>
        <v>#REF!</v>
      </c>
      <c r="X83" s="101" t="e">
        <f xml:space="preserve"> X80 / 'Salt Evaporation Pond Costs'!$B$62</f>
        <v>#REF!</v>
      </c>
      <c r="Y83" s="101" t="e">
        <f xml:space="preserve"> Y80 / 'Salt Evaporation Pond Costs'!$B$62</f>
        <v>#REF!</v>
      </c>
      <c r="Z83" s="101" t="e">
        <f xml:space="preserve"> Z80 / 'Salt Evaporation Pond Costs'!$B$62</f>
        <v>#REF!</v>
      </c>
      <c r="AA83" s="101" t="e">
        <f xml:space="preserve"> AA80 / 'Salt Evaporation Pond Costs'!$B$62</f>
        <v>#REF!</v>
      </c>
      <c r="AB83" s="101" t="e">
        <f xml:space="preserve"> AB80 / 'Salt Evaporation Pond Costs'!$B$62</f>
        <v>#REF!</v>
      </c>
      <c r="AC83" s="101" t="e">
        <f xml:space="preserve"> AC80 / 'Salt Evaporation Pond Costs'!$B$62</f>
        <v>#REF!</v>
      </c>
      <c r="AD83" s="101" t="e">
        <f xml:space="preserve"> AD80 / 'Salt Evaporation Pond Costs'!$B$62</f>
        <v>#REF!</v>
      </c>
      <c r="AE83" s="101" t="e">
        <f xml:space="preserve"> AE80 / 'Salt Evaporation Pond Costs'!$B$62</f>
        <v>#REF!</v>
      </c>
      <c r="AF83" s="101" t="e">
        <f xml:space="preserve"> AF80 / 'Salt Evaporation Pond Costs'!$B$62</f>
        <v>#REF!</v>
      </c>
      <c r="AG83" s="101" t="e">
        <f xml:space="preserve"> AG80 / 'Salt Evaporation Pond Costs'!$B$62</f>
        <v>#REF!</v>
      </c>
      <c r="AH83" s="101" t="e">
        <f xml:space="preserve"> AH80 / 'Salt Evaporation Pond Costs'!$B$62</f>
        <v>#REF!</v>
      </c>
      <c r="AI83" s="101" t="e">
        <f xml:space="preserve"> AI80 / 'Salt Evaporation Pond Costs'!$B$62</f>
        <v>#REF!</v>
      </c>
      <c r="AJ83" s="101" t="e">
        <f xml:space="preserve"> AJ80 / 'Salt Evaporation Pond Costs'!$B$62</f>
        <v>#REF!</v>
      </c>
      <c r="AK83" s="101" t="e">
        <f xml:space="preserve"> AK80 / 'Salt Evaporation Pond Costs'!$B$62</f>
        <v>#REF!</v>
      </c>
      <c r="AL83" s="101" t="e">
        <f xml:space="preserve"> AL80 / 'Salt Evaporation Pond Costs'!$B$62</f>
        <v>#REF!</v>
      </c>
      <c r="AM83" s="101" t="e">
        <f xml:space="preserve"> AM80 / 'Salt Evaporation Pond Costs'!$B$62</f>
        <v>#REF!</v>
      </c>
      <c r="AN83" s="101" t="e">
        <f xml:space="preserve"> AN80 / 'Salt Evaporation Pond Costs'!$B$62</f>
        <v>#REF!</v>
      </c>
      <c r="AO83" s="101" t="e">
        <f xml:space="preserve"> AO80 / 'Salt Evaporation Pond Costs'!$B$62</f>
        <v>#REF!</v>
      </c>
      <c r="AP83" s="101" t="e">
        <f xml:space="preserve"> AP80 / 'Salt Evaporation Pond Costs'!$B$62</f>
        <v>#REF!</v>
      </c>
      <c r="AQ83" s="101" t="e">
        <f xml:space="preserve"> AQ80 / 'Salt Evaporation Pond Costs'!$B$62</f>
        <v>#REF!</v>
      </c>
      <c r="AR83" s="101" t="e">
        <f xml:space="preserve"> AR80 / 'Salt Evaporation Pond Costs'!$B$62</f>
        <v>#REF!</v>
      </c>
      <c r="AS83" s="101" t="e">
        <f xml:space="preserve"> AS80 / 'Salt Evaporation Pond Costs'!$B$62</f>
        <v>#REF!</v>
      </c>
      <c r="AT83" s="101" t="e">
        <f xml:space="preserve"> AT80 / 'Salt Evaporation Pond Costs'!$B$62</f>
        <v>#REF!</v>
      </c>
      <c r="AU83" s="101" t="e">
        <f xml:space="preserve"> AU80 / 'Salt Evaporation Pond Costs'!$B$62</f>
        <v>#REF!</v>
      </c>
      <c r="AV83" s="101" t="e">
        <f xml:space="preserve"> AV80 / 'Salt Evaporation Pond Costs'!$B$62</f>
        <v>#REF!</v>
      </c>
      <c r="AW83" s="101" t="e">
        <f xml:space="preserve"> AW80 / 'Salt Evaporation Pond Costs'!$B$62</f>
        <v>#REF!</v>
      </c>
      <c r="AX83" s="101" t="e">
        <f xml:space="preserve"> AX80 / 'Salt Evaporation Pond Costs'!$B$62</f>
        <v>#REF!</v>
      </c>
      <c r="AY83" s="101" t="e">
        <f xml:space="preserve"> AY80 / 'Salt Evaporation Pond Costs'!$B$62</f>
        <v>#REF!</v>
      </c>
      <c r="AZ83" s="101" t="e">
        <f xml:space="preserve"> AZ80 / 'Salt Evaporation Pond Costs'!$B$62</f>
        <v>#REF!</v>
      </c>
      <c r="BA83" s="101" t="e">
        <f xml:space="preserve"> BA80 / 'Salt Evaporation Pond Costs'!$B$62</f>
        <v>#REF!</v>
      </c>
      <c r="BB83" s="101" t="e">
        <f xml:space="preserve"> BB80 / 'Salt Evaporation Pond Costs'!$B$62</f>
        <v>#REF!</v>
      </c>
      <c r="BC83" s="101" t="e">
        <f xml:space="preserve"> BC80 / 'Salt Evaporation Pond Costs'!$B$62</f>
        <v>#REF!</v>
      </c>
      <c r="BD83" s="101" t="e">
        <f xml:space="preserve"> BD80 / 'Salt Evaporation Pond Costs'!$B$62</f>
        <v>#REF!</v>
      </c>
      <c r="BE83" s="101" t="e">
        <f xml:space="preserve"> BE80 / 'Salt Evaporation Pond Costs'!$B$62</f>
        <v>#REF!</v>
      </c>
      <c r="BF83" s="101" t="e">
        <f xml:space="preserve"> BF80 / 'Salt Evaporation Pond Costs'!$B$62</f>
        <v>#REF!</v>
      </c>
      <c r="BG83" s="101" t="e">
        <f xml:space="preserve"> BG80 / 'Salt Evaporation Pond Costs'!$B$62</f>
        <v>#REF!</v>
      </c>
      <c r="BH83" s="101" t="e">
        <f xml:space="preserve"> BH80 / 'Salt Evaporation Pond Costs'!$B$62</f>
        <v>#REF!</v>
      </c>
      <c r="BI83" s="102"/>
    </row>
    <row r="84" spans="1:61" hidden="1" x14ac:dyDescent="0.2">
      <c r="A84" t="s">
        <v>560</v>
      </c>
      <c r="B84" s="86">
        <v>2.1</v>
      </c>
      <c r="C84" s="78">
        <v>90</v>
      </c>
      <c r="D84" s="10">
        <f xml:space="preserve"> C84 + $B84</f>
        <v>92.1</v>
      </c>
      <c r="E84" s="10">
        <f t="shared" ref="E84:BH84" si="36" xml:space="preserve"> D84 + $B84</f>
        <v>94.199999999999989</v>
      </c>
      <c r="F84" s="10">
        <f t="shared" si="36"/>
        <v>96.299999999999983</v>
      </c>
      <c r="G84" s="10">
        <f t="shared" si="36"/>
        <v>98.399999999999977</v>
      </c>
      <c r="H84" s="10">
        <f t="shared" si="36"/>
        <v>100.49999999999997</v>
      </c>
      <c r="I84" s="10">
        <f t="shared" si="36"/>
        <v>102.59999999999997</v>
      </c>
      <c r="J84" s="10">
        <f t="shared" si="36"/>
        <v>104.69999999999996</v>
      </c>
      <c r="K84" s="10">
        <f t="shared" si="36"/>
        <v>106.79999999999995</v>
      </c>
      <c r="L84" s="10">
        <f t="shared" si="36"/>
        <v>108.89999999999995</v>
      </c>
      <c r="M84" s="10">
        <f t="shared" si="36"/>
        <v>110.99999999999994</v>
      </c>
      <c r="N84" s="10">
        <f t="shared" si="36"/>
        <v>113.09999999999994</v>
      </c>
      <c r="O84" s="10">
        <f t="shared" si="36"/>
        <v>115.19999999999993</v>
      </c>
      <c r="P84" s="10">
        <f t="shared" si="36"/>
        <v>117.29999999999993</v>
      </c>
      <c r="Q84" s="10">
        <f t="shared" si="36"/>
        <v>119.39999999999992</v>
      </c>
      <c r="R84" s="10">
        <f t="shared" si="36"/>
        <v>121.49999999999991</v>
      </c>
      <c r="S84" s="10">
        <f t="shared" si="36"/>
        <v>123.59999999999991</v>
      </c>
      <c r="T84" s="10">
        <f t="shared" si="36"/>
        <v>125.6999999999999</v>
      </c>
      <c r="U84" s="10">
        <f t="shared" si="36"/>
        <v>127.7999999999999</v>
      </c>
      <c r="V84" s="10">
        <f t="shared" si="36"/>
        <v>129.89999999999989</v>
      </c>
      <c r="W84" s="10">
        <f t="shared" si="36"/>
        <v>131.99999999999989</v>
      </c>
      <c r="X84" s="10">
        <f t="shared" si="36"/>
        <v>134.09999999999988</v>
      </c>
      <c r="Y84" s="10">
        <f t="shared" si="36"/>
        <v>136.19999999999987</v>
      </c>
      <c r="Z84" s="10">
        <f t="shared" si="36"/>
        <v>138.29999999999987</v>
      </c>
      <c r="AA84" s="10">
        <f t="shared" si="36"/>
        <v>140.39999999999986</v>
      </c>
      <c r="AB84" s="10">
        <f t="shared" si="36"/>
        <v>142.49999999999986</v>
      </c>
      <c r="AC84" s="10">
        <f t="shared" si="36"/>
        <v>144.59999999999985</v>
      </c>
      <c r="AD84" s="10">
        <f t="shared" si="36"/>
        <v>146.69999999999985</v>
      </c>
      <c r="AE84" s="10">
        <f t="shared" si="36"/>
        <v>148.79999999999984</v>
      </c>
      <c r="AF84" s="10">
        <f t="shared" si="36"/>
        <v>150.89999999999984</v>
      </c>
      <c r="AG84" s="10">
        <f t="shared" si="36"/>
        <v>152.99999999999983</v>
      </c>
      <c r="AH84" s="10">
        <f t="shared" si="36"/>
        <v>155.09999999999982</v>
      </c>
      <c r="AI84" s="10">
        <f t="shared" si="36"/>
        <v>157.19999999999982</v>
      </c>
      <c r="AJ84" s="10">
        <f t="shared" si="36"/>
        <v>159.29999999999981</v>
      </c>
      <c r="AK84" s="10">
        <f t="shared" si="36"/>
        <v>161.39999999999981</v>
      </c>
      <c r="AL84" s="10">
        <f t="shared" si="36"/>
        <v>163.4999999999998</v>
      </c>
      <c r="AM84" s="10">
        <f t="shared" si="36"/>
        <v>165.5999999999998</v>
      </c>
      <c r="AN84" s="10">
        <f t="shared" si="36"/>
        <v>167.69999999999979</v>
      </c>
      <c r="AO84" s="10">
        <f t="shared" si="36"/>
        <v>169.79999999999978</v>
      </c>
      <c r="AP84" s="10">
        <f t="shared" si="36"/>
        <v>171.89999999999978</v>
      </c>
      <c r="AQ84" s="10">
        <f t="shared" si="36"/>
        <v>173.99999999999977</v>
      </c>
      <c r="AR84" s="10">
        <f t="shared" si="36"/>
        <v>176.09999999999977</v>
      </c>
      <c r="AS84" s="10">
        <f t="shared" si="36"/>
        <v>178.19999999999976</v>
      </c>
      <c r="AT84" s="10">
        <f t="shared" si="36"/>
        <v>180.29999999999976</v>
      </c>
      <c r="AU84" s="10">
        <f t="shared" si="36"/>
        <v>182.39999999999975</v>
      </c>
      <c r="AV84" s="10">
        <f t="shared" si="36"/>
        <v>184.49999999999974</v>
      </c>
      <c r="AW84" s="10">
        <f t="shared" si="36"/>
        <v>186.59999999999974</v>
      </c>
      <c r="AX84" s="10">
        <f t="shared" si="36"/>
        <v>188.69999999999973</v>
      </c>
      <c r="AY84" s="10">
        <f t="shared" si="36"/>
        <v>190.79999999999973</v>
      </c>
      <c r="AZ84" s="10">
        <f t="shared" si="36"/>
        <v>192.89999999999972</v>
      </c>
      <c r="BA84" s="10">
        <f t="shared" si="36"/>
        <v>194.99999999999972</v>
      </c>
      <c r="BB84" s="10">
        <f t="shared" si="36"/>
        <v>197.09999999999971</v>
      </c>
      <c r="BC84" s="10">
        <f t="shared" si="36"/>
        <v>199.1999999999997</v>
      </c>
      <c r="BD84" s="10">
        <f t="shared" si="36"/>
        <v>201.2999999999997</v>
      </c>
      <c r="BE84" s="10">
        <f t="shared" si="36"/>
        <v>203.39999999999969</v>
      </c>
      <c r="BF84" s="10">
        <f t="shared" si="36"/>
        <v>205.49999999999969</v>
      </c>
      <c r="BG84" s="10">
        <f t="shared" si="36"/>
        <v>207.59999999999968</v>
      </c>
      <c r="BH84" s="10">
        <f t="shared" si="36"/>
        <v>209.69999999999968</v>
      </c>
      <c r="BI84" s="10"/>
    </row>
    <row r="85" spans="1:61" s="72" customFormat="1" hidden="1" x14ac:dyDescent="0.2">
      <c r="A85" s="72" t="s">
        <v>12</v>
      </c>
      <c r="B85" s="128"/>
      <c r="C85" s="73" t="e">
        <f t="shared" ref="C85:BH85" si="37">C80*C84</f>
        <v>#REF!</v>
      </c>
      <c r="D85" s="73" t="e">
        <f t="shared" si="37"/>
        <v>#REF!</v>
      </c>
      <c r="E85" s="73" t="e">
        <f t="shared" si="37"/>
        <v>#REF!</v>
      </c>
      <c r="F85" s="73" t="e">
        <f t="shared" si="37"/>
        <v>#REF!</v>
      </c>
      <c r="G85" s="73" t="e">
        <f t="shared" si="37"/>
        <v>#REF!</v>
      </c>
      <c r="H85" s="73" t="e">
        <f t="shared" si="37"/>
        <v>#REF!</v>
      </c>
      <c r="I85" s="73" t="e">
        <f t="shared" si="37"/>
        <v>#REF!</v>
      </c>
      <c r="J85" s="73" t="e">
        <f t="shared" si="37"/>
        <v>#REF!</v>
      </c>
      <c r="K85" s="73" t="e">
        <f t="shared" si="37"/>
        <v>#REF!</v>
      </c>
      <c r="L85" s="73" t="e">
        <f t="shared" si="37"/>
        <v>#REF!</v>
      </c>
      <c r="M85" s="73" t="e">
        <f t="shared" si="37"/>
        <v>#REF!</v>
      </c>
      <c r="N85" s="73" t="e">
        <f t="shared" si="37"/>
        <v>#REF!</v>
      </c>
      <c r="O85" s="73" t="e">
        <f t="shared" si="37"/>
        <v>#REF!</v>
      </c>
      <c r="P85" s="73" t="e">
        <f t="shared" si="37"/>
        <v>#REF!</v>
      </c>
      <c r="Q85" s="73" t="e">
        <f t="shared" si="37"/>
        <v>#REF!</v>
      </c>
      <c r="R85" s="73" t="e">
        <f t="shared" si="37"/>
        <v>#REF!</v>
      </c>
      <c r="S85" s="73" t="e">
        <f t="shared" si="37"/>
        <v>#REF!</v>
      </c>
      <c r="T85" s="73" t="e">
        <f t="shared" si="37"/>
        <v>#REF!</v>
      </c>
      <c r="U85" s="73" t="e">
        <f t="shared" si="37"/>
        <v>#REF!</v>
      </c>
      <c r="V85" s="73" t="e">
        <f t="shared" si="37"/>
        <v>#REF!</v>
      </c>
      <c r="W85" s="73" t="e">
        <f t="shared" si="37"/>
        <v>#REF!</v>
      </c>
      <c r="X85" s="73" t="e">
        <f t="shared" si="37"/>
        <v>#REF!</v>
      </c>
      <c r="Y85" s="73" t="e">
        <f t="shared" si="37"/>
        <v>#REF!</v>
      </c>
      <c r="Z85" s="73" t="e">
        <f t="shared" si="37"/>
        <v>#REF!</v>
      </c>
      <c r="AA85" s="73" t="e">
        <f t="shared" si="37"/>
        <v>#REF!</v>
      </c>
      <c r="AB85" s="73" t="e">
        <f t="shared" si="37"/>
        <v>#REF!</v>
      </c>
      <c r="AC85" s="73" t="e">
        <f t="shared" si="37"/>
        <v>#REF!</v>
      </c>
      <c r="AD85" s="73" t="e">
        <f t="shared" si="37"/>
        <v>#REF!</v>
      </c>
      <c r="AE85" s="73" t="e">
        <f t="shared" si="37"/>
        <v>#REF!</v>
      </c>
      <c r="AF85" s="73" t="e">
        <f t="shared" si="37"/>
        <v>#REF!</v>
      </c>
      <c r="AG85" s="73" t="e">
        <f t="shared" si="37"/>
        <v>#REF!</v>
      </c>
      <c r="AH85" s="73" t="e">
        <f t="shared" si="37"/>
        <v>#REF!</v>
      </c>
      <c r="AI85" s="73" t="e">
        <f t="shared" si="37"/>
        <v>#REF!</v>
      </c>
      <c r="AJ85" s="73" t="e">
        <f t="shared" si="37"/>
        <v>#REF!</v>
      </c>
      <c r="AK85" s="73" t="e">
        <f t="shared" si="37"/>
        <v>#REF!</v>
      </c>
      <c r="AL85" s="73" t="e">
        <f t="shared" si="37"/>
        <v>#REF!</v>
      </c>
      <c r="AM85" s="73" t="e">
        <f t="shared" si="37"/>
        <v>#REF!</v>
      </c>
      <c r="AN85" s="73" t="e">
        <f t="shared" si="37"/>
        <v>#REF!</v>
      </c>
      <c r="AO85" s="73" t="e">
        <f t="shared" si="37"/>
        <v>#REF!</v>
      </c>
      <c r="AP85" s="73" t="e">
        <f t="shared" si="37"/>
        <v>#REF!</v>
      </c>
      <c r="AQ85" s="73" t="e">
        <f t="shared" si="37"/>
        <v>#REF!</v>
      </c>
      <c r="AR85" s="73" t="e">
        <f t="shared" si="37"/>
        <v>#REF!</v>
      </c>
      <c r="AS85" s="73" t="e">
        <f t="shared" si="37"/>
        <v>#REF!</v>
      </c>
      <c r="AT85" s="73" t="e">
        <f t="shared" si="37"/>
        <v>#REF!</v>
      </c>
      <c r="AU85" s="73" t="e">
        <f t="shared" si="37"/>
        <v>#REF!</v>
      </c>
      <c r="AV85" s="73" t="e">
        <f t="shared" si="37"/>
        <v>#REF!</v>
      </c>
      <c r="AW85" s="73" t="e">
        <f t="shared" si="37"/>
        <v>#REF!</v>
      </c>
      <c r="AX85" s="73" t="e">
        <f t="shared" si="37"/>
        <v>#REF!</v>
      </c>
      <c r="AY85" s="73" t="e">
        <f t="shared" si="37"/>
        <v>#REF!</v>
      </c>
      <c r="AZ85" s="73" t="e">
        <f t="shared" si="37"/>
        <v>#REF!</v>
      </c>
      <c r="BA85" s="73" t="e">
        <f t="shared" si="37"/>
        <v>#REF!</v>
      </c>
      <c r="BB85" s="73" t="e">
        <f t="shared" si="37"/>
        <v>#REF!</v>
      </c>
      <c r="BC85" s="73" t="e">
        <f t="shared" si="37"/>
        <v>#REF!</v>
      </c>
      <c r="BD85" s="73" t="e">
        <f t="shared" si="37"/>
        <v>#REF!</v>
      </c>
      <c r="BE85" s="73" t="e">
        <f t="shared" si="37"/>
        <v>#REF!</v>
      </c>
      <c r="BF85" s="73" t="e">
        <f t="shared" si="37"/>
        <v>#REF!</v>
      </c>
      <c r="BG85" s="73" t="e">
        <f t="shared" si="37"/>
        <v>#REF!</v>
      </c>
      <c r="BH85" s="73" t="e">
        <f t="shared" si="37"/>
        <v>#REF!</v>
      </c>
      <c r="BI85" s="73"/>
    </row>
    <row r="86" spans="1:61" x14ac:dyDescent="0.2">
      <c r="B86" s="3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</row>
    <row r="87" spans="1:61" x14ac:dyDescent="0.2">
      <c r="A87" t="s">
        <v>13</v>
      </c>
      <c r="B87" s="31"/>
      <c r="C87" s="94" t="e">
        <f t="shared" ref="C87:AL87" si="38" xml:space="preserve"> D88</f>
        <v>#REF!</v>
      </c>
      <c r="D87" s="94" t="e">
        <f t="shared" si="38"/>
        <v>#REF!</v>
      </c>
      <c r="E87" s="94" t="e">
        <f t="shared" si="38"/>
        <v>#REF!</v>
      </c>
      <c r="F87" s="94" t="e">
        <f t="shared" si="38"/>
        <v>#REF!</v>
      </c>
      <c r="G87" s="94" t="e">
        <f t="shared" si="38"/>
        <v>#REF!</v>
      </c>
      <c r="H87" s="94" t="e">
        <f t="shared" si="38"/>
        <v>#REF!</v>
      </c>
      <c r="I87" s="94" t="e">
        <f t="shared" si="38"/>
        <v>#REF!</v>
      </c>
      <c r="J87" s="94" t="e">
        <f t="shared" si="38"/>
        <v>#REF!</v>
      </c>
      <c r="K87" s="94" t="e">
        <f t="shared" si="38"/>
        <v>#REF!</v>
      </c>
      <c r="L87" s="94" t="e">
        <f t="shared" si="38"/>
        <v>#REF!</v>
      </c>
      <c r="M87" s="94" t="e">
        <f t="shared" si="38"/>
        <v>#REF!</v>
      </c>
      <c r="N87" s="94" t="e">
        <f t="shared" si="38"/>
        <v>#REF!</v>
      </c>
      <c r="O87" s="94" t="e">
        <f t="shared" si="38"/>
        <v>#REF!</v>
      </c>
      <c r="P87" s="94" t="e">
        <f t="shared" si="38"/>
        <v>#REF!</v>
      </c>
      <c r="Q87" s="94" t="e">
        <f t="shared" si="38"/>
        <v>#REF!</v>
      </c>
      <c r="R87" s="94" t="e">
        <f t="shared" si="38"/>
        <v>#REF!</v>
      </c>
      <c r="S87" s="94" t="e">
        <f t="shared" si="38"/>
        <v>#REF!</v>
      </c>
      <c r="T87" s="94" t="e">
        <f t="shared" si="38"/>
        <v>#REF!</v>
      </c>
      <c r="U87" s="94" t="e">
        <f t="shared" si="38"/>
        <v>#REF!</v>
      </c>
      <c r="V87" s="94" t="e">
        <f t="shared" si="38"/>
        <v>#REF!</v>
      </c>
      <c r="W87" s="94" t="e">
        <f t="shared" si="38"/>
        <v>#REF!</v>
      </c>
      <c r="X87" s="94" t="e">
        <f t="shared" si="38"/>
        <v>#REF!</v>
      </c>
      <c r="Y87" s="94" t="e">
        <f t="shared" si="38"/>
        <v>#REF!</v>
      </c>
      <c r="Z87" s="94" t="e">
        <f t="shared" si="38"/>
        <v>#REF!</v>
      </c>
      <c r="AA87" s="94" t="e">
        <f t="shared" si="38"/>
        <v>#REF!</v>
      </c>
      <c r="AB87" s="94" t="e">
        <f t="shared" si="38"/>
        <v>#REF!</v>
      </c>
      <c r="AC87" s="94" t="e">
        <f t="shared" si="38"/>
        <v>#REF!</v>
      </c>
      <c r="AD87" s="94" t="e">
        <f t="shared" si="38"/>
        <v>#REF!</v>
      </c>
      <c r="AE87" s="94" t="e">
        <f t="shared" si="38"/>
        <v>#REF!</v>
      </c>
      <c r="AF87" s="94" t="e">
        <f t="shared" si="38"/>
        <v>#REF!</v>
      </c>
      <c r="AG87" s="94" t="e">
        <f t="shared" si="38"/>
        <v>#REF!</v>
      </c>
      <c r="AH87" s="94" t="e">
        <f t="shared" si="38"/>
        <v>#REF!</v>
      </c>
      <c r="AI87" s="94" t="e">
        <f t="shared" si="38"/>
        <v>#REF!</v>
      </c>
      <c r="AJ87" s="94" t="e">
        <f t="shared" si="38"/>
        <v>#REF!</v>
      </c>
      <c r="AK87" s="94" t="e">
        <f t="shared" si="38"/>
        <v>#REF!</v>
      </c>
      <c r="AL87" s="94">
        <f t="shared" si="38"/>
        <v>0</v>
      </c>
      <c r="AM87" s="94">
        <f t="shared" ref="AM87:BH87" si="39" xml:space="preserve"> BI88</f>
        <v>0</v>
      </c>
      <c r="AN87" s="94">
        <f t="shared" si="39"/>
        <v>0</v>
      </c>
      <c r="AO87" s="94">
        <f t="shared" si="39"/>
        <v>0</v>
      </c>
      <c r="AP87" s="94">
        <f t="shared" si="39"/>
        <v>0</v>
      </c>
      <c r="AQ87" s="94">
        <f t="shared" si="39"/>
        <v>0</v>
      </c>
      <c r="AR87" s="94">
        <f t="shared" si="39"/>
        <v>0</v>
      </c>
      <c r="AS87" s="94">
        <f t="shared" si="39"/>
        <v>0</v>
      </c>
      <c r="AT87" s="94">
        <f t="shared" si="39"/>
        <v>0</v>
      </c>
      <c r="AU87" s="94">
        <f t="shared" si="39"/>
        <v>0</v>
      </c>
      <c r="AV87" s="94">
        <f t="shared" si="39"/>
        <v>0</v>
      </c>
      <c r="AW87" s="94">
        <f t="shared" si="39"/>
        <v>0</v>
      </c>
      <c r="AX87" s="94">
        <f t="shared" si="39"/>
        <v>0</v>
      </c>
      <c r="AY87" s="94">
        <f t="shared" si="39"/>
        <v>0</v>
      </c>
      <c r="AZ87" s="94">
        <f t="shared" si="39"/>
        <v>0</v>
      </c>
      <c r="BA87" s="94">
        <f t="shared" si="39"/>
        <v>0</v>
      </c>
      <c r="BB87" s="94">
        <f t="shared" si="39"/>
        <v>0</v>
      </c>
      <c r="BC87" s="94">
        <f t="shared" si="39"/>
        <v>0</v>
      </c>
      <c r="BD87" s="94">
        <f t="shared" si="39"/>
        <v>0</v>
      </c>
      <c r="BE87" s="94">
        <f t="shared" si="39"/>
        <v>0</v>
      </c>
      <c r="BF87" s="94">
        <f t="shared" si="39"/>
        <v>0</v>
      </c>
      <c r="BG87" s="94">
        <f t="shared" si="39"/>
        <v>0</v>
      </c>
      <c r="BH87" s="94">
        <f t="shared" si="39"/>
        <v>0</v>
      </c>
    </row>
    <row r="88" spans="1:61" x14ac:dyDescent="0.2">
      <c r="A88" t="s">
        <v>14</v>
      </c>
      <c r="B88" s="31"/>
      <c r="C88" s="94" t="e">
        <f t="shared" ref="C88:AL88" si="40" xml:space="preserve"> D89-C89</f>
        <v>#REF!</v>
      </c>
      <c r="D88" s="94" t="e">
        <f t="shared" si="40"/>
        <v>#REF!</v>
      </c>
      <c r="E88" s="94" t="e">
        <f t="shared" si="40"/>
        <v>#REF!</v>
      </c>
      <c r="F88" s="94" t="e">
        <f t="shared" si="40"/>
        <v>#REF!</v>
      </c>
      <c r="G88" s="94" t="e">
        <f t="shared" si="40"/>
        <v>#REF!</v>
      </c>
      <c r="H88" s="94" t="e">
        <f t="shared" si="40"/>
        <v>#REF!</v>
      </c>
      <c r="I88" s="94" t="e">
        <f t="shared" si="40"/>
        <v>#REF!</v>
      </c>
      <c r="J88" s="94" t="e">
        <f t="shared" si="40"/>
        <v>#REF!</v>
      </c>
      <c r="K88" s="94" t="e">
        <f t="shared" si="40"/>
        <v>#REF!</v>
      </c>
      <c r="L88" s="94" t="e">
        <f t="shared" si="40"/>
        <v>#REF!</v>
      </c>
      <c r="M88" s="94" t="e">
        <f t="shared" si="40"/>
        <v>#REF!</v>
      </c>
      <c r="N88" s="94" t="e">
        <f t="shared" si="40"/>
        <v>#REF!</v>
      </c>
      <c r="O88" s="94" t="e">
        <f t="shared" si="40"/>
        <v>#REF!</v>
      </c>
      <c r="P88" s="94" t="e">
        <f t="shared" si="40"/>
        <v>#REF!</v>
      </c>
      <c r="Q88" s="94" t="e">
        <f t="shared" si="40"/>
        <v>#REF!</v>
      </c>
      <c r="R88" s="94" t="e">
        <f t="shared" si="40"/>
        <v>#REF!</v>
      </c>
      <c r="S88" s="94" t="e">
        <f t="shared" si="40"/>
        <v>#REF!</v>
      </c>
      <c r="T88" s="94" t="e">
        <f t="shared" si="40"/>
        <v>#REF!</v>
      </c>
      <c r="U88" s="94" t="e">
        <f t="shared" si="40"/>
        <v>#REF!</v>
      </c>
      <c r="V88" s="94" t="e">
        <f t="shared" si="40"/>
        <v>#REF!</v>
      </c>
      <c r="W88" s="94" t="e">
        <f t="shared" si="40"/>
        <v>#REF!</v>
      </c>
      <c r="X88" s="94" t="e">
        <f t="shared" si="40"/>
        <v>#REF!</v>
      </c>
      <c r="Y88" s="94" t="e">
        <f t="shared" si="40"/>
        <v>#REF!</v>
      </c>
      <c r="Z88" s="94" t="e">
        <f t="shared" si="40"/>
        <v>#REF!</v>
      </c>
      <c r="AA88" s="94" t="e">
        <f t="shared" si="40"/>
        <v>#REF!</v>
      </c>
      <c r="AB88" s="94" t="e">
        <f t="shared" si="40"/>
        <v>#REF!</v>
      </c>
      <c r="AC88" s="94" t="e">
        <f t="shared" si="40"/>
        <v>#REF!</v>
      </c>
      <c r="AD88" s="94" t="e">
        <f t="shared" si="40"/>
        <v>#REF!</v>
      </c>
      <c r="AE88" s="94" t="e">
        <f t="shared" si="40"/>
        <v>#REF!</v>
      </c>
      <c r="AF88" s="94" t="e">
        <f t="shared" si="40"/>
        <v>#REF!</v>
      </c>
      <c r="AG88" s="94" t="e">
        <f t="shared" si="40"/>
        <v>#REF!</v>
      </c>
      <c r="AH88" s="94" t="e">
        <f t="shared" si="40"/>
        <v>#REF!</v>
      </c>
      <c r="AI88" s="94" t="e">
        <f t="shared" si="40"/>
        <v>#REF!</v>
      </c>
      <c r="AJ88" s="94" t="e">
        <f t="shared" si="40"/>
        <v>#REF!</v>
      </c>
      <c r="AK88" s="94" t="e">
        <f t="shared" si="40"/>
        <v>#REF!</v>
      </c>
      <c r="AL88" s="94" t="e">
        <f t="shared" si="40"/>
        <v>#REF!</v>
      </c>
      <c r="AM88" s="94">
        <v>0</v>
      </c>
      <c r="AN88" s="94">
        <v>0</v>
      </c>
      <c r="AO88" s="94">
        <v>0</v>
      </c>
      <c r="AP88" s="94">
        <v>0</v>
      </c>
      <c r="AQ88" s="94">
        <v>0</v>
      </c>
      <c r="AR88" s="94">
        <v>0</v>
      </c>
      <c r="AS88" s="94">
        <v>0</v>
      </c>
      <c r="AT88" s="94">
        <v>0</v>
      </c>
      <c r="AU88" s="94">
        <v>0</v>
      </c>
      <c r="AV88" s="94">
        <v>0</v>
      </c>
      <c r="AW88" s="94">
        <v>0</v>
      </c>
      <c r="AX88" s="94">
        <v>0</v>
      </c>
      <c r="AY88" s="94">
        <v>0</v>
      </c>
      <c r="AZ88" s="94">
        <v>0</v>
      </c>
      <c r="BA88" s="94">
        <v>0</v>
      </c>
      <c r="BB88" s="94">
        <v>0</v>
      </c>
      <c r="BC88" s="94">
        <v>0</v>
      </c>
      <c r="BD88" s="94">
        <v>0</v>
      </c>
      <c r="BE88" s="94">
        <v>0</v>
      </c>
      <c r="BF88" s="94">
        <v>0</v>
      </c>
      <c r="BG88" s="94">
        <v>0</v>
      </c>
      <c r="BH88" s="94">
        <v>0</v>
      </c>
    </row>
    <row r="89" spans="1:61" x14ac:dyDescent="0.2">
      <c r="A89" t="s">
        <v>15</v>
      </c>
      <c r="B89" s="31"/>
      <c r="C89">
        <v>0</v>
      </c>
      <c r="D89" t="e">
        <f>IF(AND(D74&gt;0),C89+1,C89)</f>
        <v>#REF!</v>
      </c>
      <c r="E89" t="e">
        <f>IF(AND(E74&gt;1,D100&lt;0.5),D89+1,D89)</f>
        <v>#REF!</v>
      </c>
      <c r="F89" t="e">
        <f>IF(AND(F74&gt;1,E100&lt;0.3),E89+1,E89)</f>
        <v>#REF!</v>
      </c>
      <c r="G89" t="e">
        <f>IF(AND(G74&gt;1,F100&lt;0.3),F89+1,F89)</f>
        <v>#REF!</v>
      </c>
      <c r="H89" t="e">
        <f>IF(AND(H74&gt;=1,G100&lt;0.4),G89+1,G89)</f>
        <v>#REF!</v>
      </c>
      <c r="I89" t="e">
        <f t="shared" ref="I89:BH89" si="41">IF(AND(I74&gt;1,H100&lt;0.3),H89+1,H89)</f>
        <v>#REF!</v>
      </c>
      <c r="J89" t="e">
        <f t="shared" si="41"/>
        <v>#REF!</v>
      </c>
      <c r="K89" t="e">
        <f t="shared" si="41"/>
        <v>#REF!</v>
      </c>
      <c r="L89" t="e">
        <f t="shared" si="41"/>
        <v>#REF!</v>
      </c>
      <c r="M89" t="e">
        <f t="shared" si="41"/>
        <v>#REF!</v>
      </c>
      <c r="N89" t="e">
        <f t="shared" si="41"/>
        <v>#REF!</v>
      </c>
      <c r="O89" t="e">
        <f t="shared" si="41"/>
        <v>#REF!</v>
      </c>
      <c r="P89" t="e">
        <f t="shared" si="41"/>
        <v>#REF!</v>
      </c>
      <c r="Q89" t="e">
        <f t="shared" si="41"/>
        <v>#REF!</v>
      </c>
      <c r="R89" t="e">
        <f t="shared" si="41"/>
        <v>#REF!</v>
      </c>
      <c r="S89" t="e">
        <f t="shared" si="41"/>
        <v>#REF!</v>
      </c>
      <c r="T89" t="e">
        <f t="shared" si="41"/>
        <v>#REF!</v>
      </c>
      <c r="U89" t="e">
        <f t="shared" si="41"/>
        <v>#REF!</v>
      </c>
      <c r="V89" t="e">
        <f t="shared" si="41"/>
        <v>#REF!</v>
      </c>
      <c r="W89" t="e">
        <f t="shared" si="41"/>
        <v>#REF!</v>
      </c>
      <c r="X89" t="e">
        <f t="shared" si="41"/>
        <v>#REF!</v>
      </c>
      <c r="Y89" t="e">
        <f t="shared" si="41"/>
        <v>#REF!</v>
      </c>
      <c r="Z89" t="e">
        <f t="shared" si="41"/>
        <v>#REF!</v>
      </c>
      <c r="AA89" t="e">
        <f t="shared" si="41"/>
        <v>#REF!</v>
      </c>
      <c r="AB89" t="e">
        <f t="shared" si="41"/>
        <v>#REF!</v>
      </c>
      <c r="AC89" t="e">
        <f t="shared" si="41"/>
        <v>#REF!</v>
      </c>
      <c r="AD89" t="e">
        <f t="shared" si="41"/>
        <v>#REF!</v>
      </c>
      <c r="AE89" t="e">
        <f t="shared" si="41"/>
        <v>#REF!</v>
      </c>
      <c r="AF89" t="e">
        <f t="shared" si="41"/>
        <v>#REF!</v>
      </c>
      <c r="AG89" t="e">
        <f t="shared" si="41"/>
        <v>#REF!</v>
      </c>
      <c r="AH89" t="e">
        <f t="shared" si="41"/>
        <v>#REF!</v>
      </c>
      <c r="AI89" t="e">
        <f t="shared" si="41"/>
        <v>#REF!</v>
      </c>
      <c r="AJ89" t="e">
        <f t="shared" si="41"/>
        <v>#REF!</v>
      </c>
      <c r="AK89" t="e">
        <f t="shared" si="41"/>
        <v>#REF!</v>
      </c>
      <c r="AL89" t="e">
        <f t="shared" si="41"/>
        <v>#REF!</v>
      </c>
      <c r="AM89" t="e">
        <f t="shared" si="41"/>
        <v>#REF!</v>
      </c>
      <c r="AN89" t="e">
        <f t="shared" si="41"/>
        <v>#REF!</v>
      </c>
      <c r="AO89" t="e">
        <f t="shared" si="41"/>
        <v>#REF!</v>
      </c>
      <c r="AP89" t="e">
        <f t="shared" si="41"/>
        <v>#REF!</v>
      </c>
      <c r="AQ89" t="e">
        <f t="shared" si="41"/>
        <v>#REF!</v>
      </c>
      <c r="AR89" t="e">
        <f t="shared" si="41"/>
        <v>#REF!</v>
      </c>
      <c r="AS89" t="e">
        <f t="shared" si="41"/>
        <v>#REF!</v>
      </c>
      <c r="AT89" t="e">
        <f t="shared" si="41"/>
        <v>#REF!</v>
      </c>
      <c r="AU89" t="e">
        <f t="shared" si="41"/>
        <v>#REF!</v>
      </c>
      <c r="AV89" t="e">
        <f t="shared" si="41"/>
        <v>#REF!</v>
      </c>
      <c r="AW89" t="e">
        <f t="shared" si="41"/>
        <v>#REF!</v>
      </c>
      <c r="AX89" t="e">
        <f t="shared" si="41"/>
        <v>#REF!</v>
      </c>
      <c r="AY89" t="e">
        <f t="shared" si="41"/>
        <v>#REF!</v>
      </c>
      <c r="AZ89" t="e">
        <f t="shared" si="41"/>
        <v>#REF!</v>
      </c>
      <c r="BA89" t="e">
        <f t="shared" si="41"/>
        <v>#REF!</v>
      </c>
      <c r="BB89" t="e">
        <f t="shared" si="41"/>
        <v>#REF!</v>
      </c>
      <c r="BC89" t="e">
        <f t="shared" si="41"/>
        <v>#REF!</v>
      </c>
      <c r="BD89" t="e">
        <f t="shared" si="41"/>
        <v>#REF!</v>
      </c>
      <c r="BE89" t="e">
        <f t="shared" si="41"/>
        <v>#REF!</v>
      </c>
      <c r="BF89" t="e">
        <f t="shared" si="41"/>
        <v>#REF!</v>
      </c>
      <c r="BG89" t="e">
        <f t="shared" si="41"/>
        <v>#REF!</v>
      </c>
      <c r="BH89" t="e">
        <f t="shared" si="41"/>
        <v>#REF!</v>
      </c>
    </row>
    <row r="90" spans="1:61" x14ac:dyDescent="0.2">
      <c r="A90" t="s">
        <v>16</v>
      </c>
      <c r="B90" s="31"/>
      <c r="C90" s="5">
        <f>C89*'Levellized Salt Refinery Plant '!$C$53</f>
        <v>0</v>
      </c>
      <c r="D90" s="5" t="e">
        <f>D89*'Levellized Salt Refinery Plant '!$C$53</f>
        <v>#REF!</v>
      </c>
      <c r="E90" s="5" t="e">
        <f>E89*'Levellized Salt Refinery Plant '!$C$53</f>
        <v>#REF!</v>
      </c>
      <c r="F90" s="5" t="e">
        <f>F89*'Levellized Salt Refinery Plant '!$C$53</f>
        <v>#REF!</v>
      </c>
      <c r="G90" s="5" t="e">
        <f>G89*'Levellized Salt Refinery Plant '!$C$53</f>
        <v>#REF!</v>
      </c>
      <c r="H90" s="5" t="e">
        <f>H89*'Levellized Salt Refinery Plant '!$C$53</f>
        <v>#REF!</v>
      </c>
      <c r="I90" s="5" t="e">
        <f>I89*'Levellized Salt Refinery Plant '!$C$53</f>
        <v>#REF!</v>
      </c>
      <c r="J90" s="5" t="e">
        <f>J89*'Levellized Salt Refinery Plant '!$C$53</f>
        <v>#REF!</v>
      </c>
      <c r="K90" s="5" t="e">
        <f>K89*'Levellized Salt Refinery Plant '!$C$53</f>
        <v>#REF!</v>
      </c>
      <c r="L90" s="5" t="e">
        <f>L89*'Levellized Salt Refinery Plant '!$C$53</f>
        <v>#REF!</v>
      </c>
      <c r="M90" s="5" t="e">
        <f>M89*'Levellized Salt Refinery Plant '!$C$53</f>
        <v>#REF!</v>
      </c>
      <c r="N90" s="5" t="e">
        <f>N89*'Levellized Salt Refinery Plant '!$C$53</f>
        <v>#REF!</v>
      </c>
      <c r="O90" s="5" t="e">
        <f>O89*'Levellized Salt Refinery Plant '!$C$53</f>
        <v>#REF!</v>
      </c>
      <c r="P90" s="5" t="e">
        <f>P89*'Levellized Salt Refinery Plant '!$C$53</f>
        <v>#REF!</v>
      </c>
      <c r="Q90" s="5" t="e">
        <f>Q89*'Levellized Salt Refinery Plant '!$C$53</f>
        <v>#REF!</v>
      </c>
      <c r="R90" s="5" t="e">
        <f>R89*'Levellized Salt Refinery Plant '!$C$53</f>
        <v>#REF!</v>
      </c>
      <c r="S90" s="5" t="e">
        <f>S89*'Levellized Salt Refinery Plant '!$C$53</f>
        <v>#REF!</v>
      </c>
      <c r="T90" s="5" t="e">
        <f>T89*'Levellized Salt Refinery Plant '!$C$53</f>
        <v>#REF!</v>
      </c>
      <c r="U90" s="5" t="e">
        <f>U89*'Levellized Salt Refinery Plant '!$C$53</f>
        <v>#REF!</v>
      </c>
      <c r="V90" s="5" t="e">
        <f>V89*'Levellized Salt Refinery Plant '!$C$53</f>
        <v>#REF!</v>
      </c>
      <c r="W90" s="5" t="e">
        <f>W89*'Levellized Salt Refinery Plant '!$C$53</f>
        <v>#REF!</v>
      </c>
      <c r="X90" s="5" t="e">
        <f>X89*'Levellized Salt Refinery Plant '!$C$53</f>
        <v>#REF!</v>
      </c>
      <c r="Y90" s="5" t="e">
        <f>Y89*'Levellized Salt Refinery Plant '!$C$53</f>
        <v>#REF!</v>
      </c>
      <c r="Z90" s="5" t="e">
        <f>Z89*'Levellized Salt Refinery Plant '!$C$53</f>
        <v>#REF!</v>
      </c>
      <c r="AA90" s="5" t="e">
        <f>AA89*'Levellized Salt Refinery Plant '!$C$53</f>
        <v>#REF!</v>
      </c>
      <c r="AB90" s="5" t="e">
        <f>AB89*'Levellized Salt Refinery Plant '!$C$53</f>
        <v>#REF!</v>
      </c>
      <c r="AC90" s="5" t="e">
        <f>AC89*'Levellized Salt Refinery Plant '!$C$53</f>
        <v>#REF!</v>
      </c>
      <c r="AD90" s="5" t="e">
        <f>AD89*'Levellized Salt Refinery Plant '!$C$53</f>
        <v>#REF!</v>
      </c>
      <c r="AE90" s="5" t="e">
        <f>AE89*'Levellized Salt Refinery Plant '!$C$53</f>
        <v>#REF!</v>
      </c>
      <c r="AF90" s="5" t="e">
        <f>AF89*'Levellized Salt Refinery Plant '!$C$53</f>
        <v>#REF!</v>
      </c>
      <c r="AG90" s="5" t="e">
        <f>AG89*'Levellized Salt Refinery Plant '!$C$53</f>
        <v>#REF!</v>
      </c>
      <c r="AH90" s="5" t="e">
        <f>AH89*'Levellized Salt Refinery Plant '!$C$53</f>
        <v>#REF!</v>
      </c>
      <c r="AI90" s="5" t="e">
        <f>AI89*'Levellized Salt Refinery Plant '!$C$53</f>
        <v>#REF!</v>
      </c>
      <c r="AJ90" s="5" t="e">
        <f>AJ89*'Levellized Salt Refinery Plant '!$C$53</f>
        <v>#REF!</v>
      </c>
      <c r="AK90" s="5" t="e">
        <f>AK89*'Levellized Salt Refinery Plant '!$C$53</f>
        <v>#REF!</v>
      </c>
      <c r="AL90" s="5" t="e">
        <f>AL89*'Levellized Salt Refinery Plant '!$C$53</f>
        <v>#REF!</v>
      </c>
      <c r="AM90" s="5" t="e">
        <f>AM89*'Levellized Salt Refinery Plant '!$C$53</f>
        <v>#REF!</v>
      </c>
      <c r="AN90" s="5" t="e">
        <f>AN89*'Levellized Salt Refinery Plant '!$C$53</f>
        <v>#REF!</v>
      </c>
      <c r="AO90" s="5" t="e">
        <f>AO89*'Levellized Salt Refinery Plant '!$C$53</f>
        <v>#REF!</v>
      </c>
      <c r="AP90" s="5" t="e">
        <f>AP89*'Levellized Salt Refinery Plant '!$C$53</f>
        <v>#REF!</v>
      </c>
      <c r="AQ90" s="5" t="e">
        <f>AQ89*'Levellized Salt Refinery Plant '!$C$53</f>
        <v>#REF!</v>
      </c>
      <c r="AR90" s="5" t="e">
        <f>AR89*'Levellized Salt Refinery Plant '!$C$53</f>
        <v>#REF!</v>
      </c>
      <c r="AS90" s="5" t="e">
        <f>AS89*'Levellized Salt Refinery Plant '!$C$53</f>
        <v>#REF!</v>
      </c>
      <c r="AT90" s="5" t="e">
        <f>AT89*'Levellized Salt Refinery Plant '!$C$53</f>
        <v>#REF!</v>
      </c>
      <c r="AU90" s="5" t="e">
        <f>AU89*'Levellized Salt Refinery Plant '!$C$53</f>
        <v>#REF!</v>
      </c>
      <c r="AV90" s="5" t="e">
        <f>AV89*'Levellized Salt Refinery Plant '!$C$53</f>
        <v>#REF!</v>
      </c>
      <c r="AW90" s="5" t="e">
        <f>AW89*'Levellized Salt Refinery Plant '!$C$53</f>
        <v>#REF!</v>
      </c>
      <c r="AX90" s="5" t="e">
        <f>AX89*'Levellized Salt Refinery Plant '!$C$53</f>
        <v>#REF!</v>
      </c>
      <c r="AY90" s="5" t="e">
        <f>AY89*'Levellized Salt Refinery Plant '!$C$53</f>
        <v>#REF!</v>
      </c>
      <c r="AZ90" s="5" t="e">
        <f>AZ89*'Levellized Salt Refinery Plant '!$C$53</f>
        <v>#REF!</v>
      </c>
      <c r="BA90" s="5" t="e">
        <f>BA89*'Levellized Salt Refinery Plant '!$C$53</f>
        <v>#REF!</v>
      </c>
      <c r="BB90" s="5" t="e">
        <f>BB89*'Levellized Salt Refinery Plant '!$C$53</f>
        <v>#REF!</v>
      </c>
      <c r="BC90" s="5" t="e">
        <f>BC89*'Levellized Salt Refinery Plant '!$C$53</f>
        <v>#REF!</v>
      </c>
      <c r="BD90" s="5" t="e">
        <f>BD89*'Levellized Salt Refinery Plant '!$C$53</f>
        <v>#REF!</v>
      </c>
      <c r="BE90" s="5" t="e">
        <f>BE89*'Levellized Salt Refinery Plant '!$C$53</f>
        <v>#REF!</v>
      </c>
      <c r="BF90" s="5" t="e">
        <f>BF89*'Levellized Salt Refinery Plant '!$C$53</f>
        <v>#REF!</v>
      </c>
      <c r="BG90" s="5" t="e">
        <f>BG89*'Levellized Salt Refinery Plant '!$C$53</f>
        <v>#REF!</v>
      </c>
      <c r="BH90" s="5" t="e">
        <f>BH89*'Levellized Salt Refinery Plant '!$C$53</f>
        <v>#REF!</v>
      </c>
      <c r="BI90" s="5"/>
    </row>
    <row r="91" spans="1:61" s="74" customFormat="1" hidden="1" x14ac:dyDescent="0.2">
      <c r="A91" s="74" t="s">
        <v>17</v>
      </c>
      <c r="B91" s="121"/>
      <c r="C91" s="75" t="e">
        <f>IF(C88&gt;0,C88*'Levellized Salt Refinery Plant '!$C$2,0)</f>
        <v>#REF!</v>
      </c>
      <c r="D91" s="75" t="e">
        <f>IF(D88&gt;0,D88*'Levellized Salt Refinery Plant '!$C$2,0)</f>
        <v>#REF!</v>
      </c>
      <c r="E91" s="75" t="e">
        <f>IF(E88&gt;0,E88*'Levellized Salt Refinery Plant '!$C$2,0)</f>
        <v>#REF!</v>
      </c>
      <c r="F91" s="75" t="e">
        <f>IF(F88&gt;0,F88*'Levellized Salt Refinery Plant '!$C$2,0)</f>
        <v>#REF!</v>
      </c>
      <c r="G91" s="75" t="e">
        <f>IF(G88&gt;0,G88*'Levellized Salt Refinery Plant '!$C$2,0)</f>
        <v>#REF!</v>
      </c>
      <c r="H91" s="75" t="e">
        <f>IF(H88&gt;0,H88*'Levellized Salt Refinery Plant '!$C$2,0)</f>
        <v>#REF!</v>
      </c>
      <c r="I91" s="75" t="e">
        <f>IF(I88&gt;0,I88*'Levellized Salt Refinery Plant '!$C$2,0)</f>
        <v>#REF!</v>
      </c>
      <c r="J91" s="75" t="e">
        <f>IF(J88&gt;0,J88*'Levellized Salt Refinery Plant '!$C$2,0)</f>
        <v>#REF!</v>
      </c>
      <c r="K91" s="75" t="e">
        <f>IF(K88&gt;0,K88*'Levellized Salt Refinery Plant '!$C$2,0)</f>
        <v>#REF!</v>
      </c>
      <c r="L91" s="75" t="e">
        <f>IF(L88&gt;0,L88*'Levellized Salt Refinery Plant '!$C$2,0)</f>
        <v>#REF!</v>
      </c>
      <c r="M91" s="75" t="e">
        <f>IF(M88&gt;0,M88*'Levellized Salt Refinery Plant '!$C$2,0)</f>
        <v>#REF!</v>
      </c>
      <c r="N91" s="75" t="e">
        <f>IF(N88&gt;0,N88*'Levellized Salt Refinery Plant '!$C$2,0)</f>
        <v>#REF!</v>
      </c>
      <c r="O91" s="75" t="e">
        <f>IF(O88&gt;0,O88*'Levellized Salt Refinery Plant '!$C$2,0)</f>
        <v>#REF!</v>
      </c>
      <c r="P91" s="75" t="e">
        <f>IF(P88&gt;0,P88*'Levellized Salt Refinery Plant '!$C$2,0)</f>
        <v>#REF!</v>
      </c>
      <c r="Q91" s="75" t="e">
        <f>IF(Q88&gt;0,Q88*'Levellized Salt Refinery Plant '!$C$2,0)</f>
        <v>#REF!</v>
      </c>
      <c r="R91" s="75" t="e">
        <f>IF(R88&gt;0,R88*'Levellized Salt Refinery Plant '!$C$2,0)</f>
        <v>#REF!</v>
      </c>
      <c r="S91" s="75" t="e">
        <f>IF(S88&gt;0,S88*'Levellized Salt Refinery Plant '!$C$2,0)</f>
        <v>#REF!</v>
      </c>
      <c r="T91" s="75" t="e">
        <f>IF(T88&gt;0,T88*'Levellized Salt Refinery Plant '!$C$2,0)</f>
        <v>#REF!</v>
      </c>
      <c r="U91" s="75" t="e">
        <f>IF(U88&gt;0,U88*'Levellized Salt Refinery Plant '!$C$2,0)</f>
        <v>#REF!</v>
      </c>
      <c r="V91" s="75" t="e">
        <f>IF(V88&gt;0,V88*'Levellized Salt Refinery Plant '!$C$2,0)</f>
        <v>#REF!</v>
      </c>
      <c r="W91" s="75" t="e">
        <f>IF(W88&gt;0,W88*'Levellized Salt Refinery Plant '!$C$2,0)</f>
        <v>#REF!</v>
      </c>
      <c r="X91" s="75" t="e">
        <f>IF(X88&gt;0,X88*'Levellized Salt Refinery Plant '!$C$2,0)</f>
        <v>#REF!</v>
      </c>
      <c r="Y91" s="75" t="e">
        <f>IF(Y88&gt;0,Y88*'Levellized Salt Refinery Plant '!$C$2,0)</f>
        <v>#REF!</v>
      </c>
      <c r="Z91" s="75" t="e">
        <f>IF(Z88&gt;0,Z88*'Levellized Salt Refinery Plant '!$C$2,0)</f>
        <v>#REF!</v>
      </c>
      <c r="AA91" s="75" t="e">
        <f>IF(AA88&gt;0,AA88*'Levellized Salt Refinery Plant '!$C$2,0)</f>
        <v>#REF!</v>
      </c>
      <c r="AB91" s="75" t="e">
        <f>IF(AB88&gt;0,AB88*'Levellized Salt Refinery Plant '!$C$2,0)</f>
        <v>#REF!</v>
      </c>
      <c r="AC91" s="75" t="e">
        <f>IF(AC88&gt;0,AC88*'Levellized Salt Refinery Plant '!$C$2,0)</f>
        <v>#REF!</v>
      </c>
      <c r="AD91" s="75" t="e">
        <f>IF(AD88&gt;0,AD88*'Levellized Salt Refinery Plant '!$C$2,0)</f>
        <v>#REF!</v>
      </c>
      <c r="AE91" s="75" t="e">
        <f>IF(AE88&gt;0,AE88*'Levellized Salt Refinery Plant '!$C$2,0)</f>
        <v>#REF!</v>
      </c>
      <c r="AF91" s="75" t="e">
        <f>IF(AF88&gt;0,AF88*'Levellized Salt Refinery Plant '!$C$2,0)</f>
        <v>#REF!</v>
      </c>
      <c r="AG91" s="75" t="e">
        <f>IF(AG88&gt;0,AG88*'Levellized Salt Refinery Plant '!$C$2,0)</f>
        <v>#REF!</v>
      </c>
      <c r="AH91" s="75" t="e">
        <f>IF(AH88&gt;0,AH88*'Levellized Salt Refinery Plant '!$C$2,0)</f>
        <v>#REF!</v>
      </c>
      <c r="AI91" s="75" t="e">
        <f>IF(AI88&gt;0,AI88*'Levellized Salt Refinery Plant '!$C$2,0)</f>
        <v>#REF!</v>
      </c>
      <c r="AJ91" s="75" t="e">
        <f>IF(AJ88&gt;0,AJ88*'Levellized Salt Refinery Plant '!$C$2,0)</f>
        <v>#REF!</v>
      </c>
      <c r="AK91" s="75" t="e">
        <f>IF(AK88&gt;0,AK88*'Levellized Salt Refinery Plant '!$C$2,0)</f>
        <v>#REF!</v>
      </c>
      <c r="AL91" s="75" t="e">
        <f>IF(AL88&gt;0,AL88*'Levellized Salt Refinery Plant '!$C$2,0)</f>
        <v>#REF!</v>
      </c>
      <c r="AM91" s="75">
        <f>IF(AM88&gt;0,AM88*'Levellized Salt Refinery Plant '!$C$2,0)</f>
        <v>0</v>
      </c>
      <c r="AN91" s="75">
        <f>IF(AN88&gt;0,AN88*'Levellized Salt Refinery Plant '!$C$2,0)</f>
        <v>0</v>
      </c>
      <c r="AO91" s="75">
        <f>IF(AO88&gt;0,AO88*'Levellized Salt Refinery Plant '!$C$2,0)</f>
        <v>0</v>
      </c>
      <c r="AP91" s="75">
        <f>IF(AP88&gt;0,AP88*'Levellized Salt Refinery Plant '!$C$2,0)</f>
        <v>0</v>
      </c>
      <c r="AQ91" s="75">
        <f>IF(AQ88&gt;0,AQ88*'Levellized Salt Refinery Plant '!$C$2,0)</f>
        <v>0</v>
      </c>
      <c r="AR91" s="75">
        <f>IF(AR88&gt;0,AR88*'Levellized Salt Refinery Plant '!$C$2,0)</f>
        <v>0</v>
      </c>
      <c r="AS91" s="75">
        <f>IF(AS88&gt;0,AS88*'Levellized Salt Refinery Plant '!$C$2,0)</f>
        <v>0</v>
      </c>
      <c r="AT91" s="75">
        <f>IF(AT88&gt;0,AT88*'Levellized Salt Refinery Plant '!$C$2,0)</f>
        <v>0</v>
      </c>
      <c r="AU91" s="75">
        <f>IF(AU88&gt;0,AU88*'Levellized Salt Refinery Plant '!$C$2,0)</f>
        <v>0</v>
      </c>
      <c r="AV91" s="75">
        <f>IF(AV88&gt;0,AV88*'Levellized Salt Refinery Plant '!$C$2,0)</f>
        <v>0</v>
      </c>
      <c r="AW91" s="75">
        <f>IF(AW88&gt;0,AW88*'Levellized Salt Refinery Plant '!$C$2,0)</f>
        <v>0</v>
      </c>
      <c r="AX91" s="75">
        <f>IF(AX88&gt;0,AX88*'Levellized Salt Refinery Plant '!$C$2,0)</f>
        <v>0</v>
      </c>
      <c r="AY91" s="75">
        <f>IF(AY88&gt;0,AY88*'Levellized Salt Refinery Plant '!$C$2,0)</f>
        <v>0</v>
      </c>
      <c r="AZ91" s="75">
        <f>IF(AZ88&gt;0,AZ88*'Levellized Salt Refinery Plant '!$C$2,0)</f>
        <v>0</v>
      </c>
      <c r="BA91" s="75">
        <f>IF(BA88&gt;0,BA88*'Levellized Salt Refinery Plant '!$C$2,0)</f>
        <v>0</v>
      </c>
      <c r="BB91" s="75">
        <f>IF(BB88&gt;0,BB88*'Levellized Salt Refinery Plant '!$C$2,0)</f>
        <v>0</v>
      </c>
      <c r="BC91" s="75">
        <f>IF(BC88&gt;0,BC88*'Levellized Salt Refinery Plant '!$C$2,0)</f>
        <v>0</v>
      </c>
      <c r="BD91" s="75">
        <f>IF(BD88&gt;0,BD88*'Levellized Salt Refinery Plant '!$C$2,0)</f>
        <v>0</v>
      </c>
      <c r="BE91" s="75">
        <f>IF(BE88&gt;0,BE88*'Levellized Salt Refinery Plant '!$C$2,0)</f>
        <v>0</v>
      </c>
      <c r="BF91" s="75">
        <f>IF(BF88&gt;0,BF88*'Levellized Salt Refinery Plant '!$C$2,0)</f>
        <v>0</v>
      </c>
      <c r="BG91" s="75">
        <f>IF(BG88&gt;0,BG88*'Levellized Salt Refinery Plant '!$C$2,0)</f>
        <v>0</v>
      </c>
      <c r="BH91" s="75">
        <f>IF(BH88&gt;0,BH88*'Levellized Salt Refinery Plant '!$C$2,0)</f>
        <v>0</v>
      </c>
      <c r="BI91" s="75"/>
    </row>
    <row r="92" spans="1:61" s="74" customFormat="1" hidden="1" x14ac:dyDescent="0.2">
      <c r="A92" s="74" t="s">
        <v>18</v>
      </c>
      <c r="B92" s="121"/>
      <c r="C92" s="75">
        <f>C89*'Levellized Salt Refinery Plant '!$C$35</f>
        <v>0</v>
      </c>
      <c r="D92" s="75" t="e">
        <f>D89*'Levellized Salt Refinery Plant '!$C$35</f>
        <v>#REF!</v>
      </c>
      <c r="E92" s="75" t="e">
        <f>E89*'Levellized Salt Refinery Plant '!$C$35</f>
        <v>#REF!</v>
      </c>
      <c r="F92" s="75" t="e">
        <f>F89*'Levellized Salt Refinery Plant '!$C$35</f>
        <v>#REF!</v>
      </c>
      <c r="G92" s="75" t="e">
        <f>G89*'Levellized Salt Refinery Plant '!$C$35</f>
        <v>#REF!</v>
      </c>
      <c r="H92" s="75" t="e">
        <f>H89*'Levellized Salt Refinery Plant '!$C$35</f>
        <v>#REF!</v>
      </c>
      <c r="I92" s="75" t="e">
        <f>I89*'Levellized Salt Refinery Plant '!$C$35</f>
        <v>#REF!</v>
      </c>
      <c r="J92" s="75" t="e">
        <f>J89*'Levellized Salt Refinery Plant '!$C$35</f>
        <v>#REF!</v>
      </c>
      <c r="K92" s="75" t="e">
        <f>K89*'Levellized Salt Refinery Plant '!$C$35</f>
        <v>#REF!</v>
      </c>
      <c r="L92" s="75" t="e">
        <f>L89*'Levellized Salt Refinery Plant '!$C$35</f>
        <v>#REF!</v>
      </c>
      <c r="M92" s="75" t="e">
        <f>M89*'Levellized Salt Refinery Plant '!$C$35</f>
        <v>#REF!</v>
      </c>
      <c r="N92" s="75" t="e">
        <f>N89*'Levellized Salt Refinery Plant '!$C$35</f>
        <v>#REF!</v>
      </c>
      <c r="O92" s="75" t="e">
        <f>O89*'Levellized Salt Refinery Plant '!$C$35</f>
        <v>#REF!</v>
      </c>
      <c r="P92" s="75" t="e">
        <f>P89*'Levellized Salt Refinery Plant '!$C$35</f>
        <v>#REF!</v>
      </c>
      <c r="Q92" s="75" t="e">
        <f>Q89*'Levellized Salt Refinery Plant '!$C$35</f>
        <v>#REF!</v>
      </c>
      <c r="R92" s="75" t="e">
        <f>R89*'Levellized Salt Refinery Plant '!$C$35</f>
        <v>#REF!</v>
      </c>
      <c r="S92" s="75" t="e">
        <f>S89*'Levellized Salt Refinery Plant '!$C$35</f>
        <v>#REF!</v>
      </c>
      <c r="T92" s="75" t="e">
        <f>T89*'Levellized Salt Refinery Plant '!$C$35</f>
        <v>#REF!</v>
      </c>
      <c r="U92" s="75" t="e">
        <f>U89*'Levellized Salt Refinery Plant '!$C$35</f>
        <v>#REF!</v>
      </c>
      <c r="V92" s="75" t="e">
        <f>V89*'Levellized Salt Refinery Plant '!$C$35</f>
        <v>#REF!</v>
      </c>
      <c r="W92" s="75" t="e">
        <f>W89*'Levellized Salt Refinery Plant '!$C$35</f>
        <v>#REF!</v>
      </c>
      <c r="X92" s="75" t="e">
        <f>X89*'Levellized Salt Refinery Plant '!$C$35</f>
        <v>#REF!</v>
      </c>
      <c r="Y92" s="75" t="e">
        <f>Y89*'Levellized Salt Refinery Plant '!$C$35</f>
        <v>#REF!</v>
      </c>
      <c r="Z92" s="75" t="e">
        <f>Z89*'Levellized Salt Refinery Plant '!$C$35</f>
        <v>#REF!</v>
      </c>
      <c r="AA92" s="75" t="e">
        <f>AA89*'Levellized Salt Refinery Plant '!$C$35</f>
        <v>#REF!</v>
      </c>
      <c r="AB92" s="75" t="e">
        <f>AB89*'Levellized Salt Refinery Plant '!$C$35</f>
        <v>#REF!</v>
      </c>
      <c r="AC92" s="75" t="e">
        <f>AC89*'Levellized Salt Refinery Plant '!$C$35</f>
        <v>#REF!</v>
      </c>
      <c r="AD92" s="75" t="e">
        <f>AD89*'Levellized Salt Refinery Plant '!$C$35</f>
        <v>#REF!</v>
      </c>
      <c r="AE92" s="75" t="e">
        <f>AE89*'Levellized Salt Refinery Plant '!$C$35</f>
        <v>#REF!</v>
      </c>
      <c r="AF92" s="75" t="e">
        <f>AF89*'Levellized Salt Refinery Plant '!$C$35</f>
        <v>#REF!</v>
      </c>
      <c r="AG92" s="75" t="e">
        <f>AG89*'Levellized Salt Refinery Plant '!$C$35</f>
        <v>#REF!</v>
      </c>
      <c r="AH92" s="75" t="e">
        <f>AH89*'Levellized Salt Refinery Plant '!$C$35</f>
        <v>#REF!</v>
      </c>
      <c r="AI92" s="75" t="e">
        <f>AI89*'Levellized Salt Refinery Plant '!$C$35</f>
        <v>#REF!</v>
      </c>
      <c r="AJ92" s="75" t="e">
        <f>AJ89*'Levellized Salt Refinery Plant '!$C$35</f>
        <v>#REF!</v>
      </c>
      <c r="AK92" s="75" t="e">
        <f>AK89*'Levellized Salt Refinery Plant '!$C$35</f>
        <v>#REF!</v>
      </c>
      <c r="AL92" s="75" t="e">
        <f>AL89*'Levellized Salt Refinery Plant '!$C$35</f>
        <v>#REF!</v>
      </c>
      <c r="AM92" s="75" t="e">
        <f>AM89*'Levellized Salt Refinery Plant '!$C$35</f>
        <v>#REF!</v>
      </c>
      <c r="AN92" s="75" t="e">
        <f>AN89*'Levellized Salt Refinery Plant '!$C$35</f>
        <v>#REF!</v>
      </c>
      <c r="AO92" s="75" t="e">
        <f>AO89*'Levellized Salt Refinery Plant '!$C$35</f>
        <v>#REF!</v>
      </c>
      <c r="AP92" s="75" t="e">
        <f>AP89*'Levellized Salt Refinery Plant '!$C$35</f>
        <v>#REF!</v>
      </c>
      <c r="AQ92" s="75" t="e">
        <f>AQ89*'Levellized Salt Refinery Plant '!$C$35</f>
        <v>#REF!</v>
      </c>
      <c r="AR92" s="75" t="e">
        <f>AR89*'Levellized Salt Refinery Plant '!$C$35</f>
        <v>#REF!</v>
      </c>
      <c r="AS92" s="75" t="e">
        <f>AS89*'Levellized Salt Refinery Plant '!$C$35</f>
        <v>#REF!</v>
      </c>
      <c r="AT92" s="75" t="e">
        <f>AT89*'Levellized Salt Refinery Plant '!$C$35</f>
        <v>#REF!</v>
      </c>
      <c r="AU92" s="75" t="e">
        <f>AU89*'Levellized Salt Refinery Plant '!$C$35</f>
        <v>#REF!</v>
      </c>
      <c r="AV92" s="75" t="e">
        <f>AV89*'Levellized Salt Refinery Plant '!$C$35</f>
        <v>#REF!</v>
      </c>
      <c r="AW92" s="75" t="e">
        <f>AW89*'Levellized Salt Refinery Plant '!$C$35</f>
        <v>#REF!</v>
      </c>
      <c r="AX92" s="75" t="e">
        <f>AX89*'Levellized Salt Refinery Plant '!$C$35</f>
        <v>#REF!</v>
      </c>
      <c r="AY92" s="75" t="e">
        <f>AY89*'Levellized Salt Refinery Plant '!$C$35</f>
        <v>#REF!</v>
      </c>
      <c r="AZ92" s="75" t="e">
        <f>AZ89*'Levellized Salt Refinery Plant '!$C$35</f>
        <v>#REF!</v>
      </c>
      <c r="BA92" s="75" t="e">
        <f>BA89*'Levellized Salt Refinery Plant '!$C$35</f>
        <v>#REF!</v>
      </c>
      <c r="BB92" s="75" t="e">
        <f>BB89*'Levellized Salt Refinery Plant '!$C$35</f>
        <v>#REF!</v>
      </c>
      <c r="BC92" s="75" t="e">
        <f>BC89*'Levellized Salt Refinery Plant '!$C$35</f>
        <v>#REF!</v>
      </c>
      <c r="BD92" s="75" t="e">
        <f>BD89*'Levellized Salt Refinery Plant '!$C$35</f>
        <v>#REF!</v>
      </c>
      <c r="BE92" s="75" t="e">
        <f>BE89*'Levellized Salt Refinery Plant '!$C$35</f>
        <v>#REF!</v>
      </c>
      <c r="BF92" s="75" t="e">
        <f>BF89*'Levellized Salt Refinery Plant '!$C$35</f>
        <v>#REF!</v>
      </c>
      <c r="BG92" s="75" t="e">
        <f>BG89*'Levellized Salt Refinery Plant '!$C$35</f>
        <v>#REF!</v>
      </c>
      <c r="BH92" s="75" t="e">
        <f>BH89*'Levellized Salt Refinery Plant '!$C$35</f>
        <v>#REF!</v>
      </c>
      <c r="BI92" s="75"/>
    </row>
    <row r="93" spans="1:61" s="74" customFormat="1" hidden="1" x14ac:dyDescent="0.2">
      <c r="A93" s="74" t="s">
        <v>504</v>
      </c>
      <c r="B93" s="121"/>
      <c r="C93" s="75">
        <f>C89*'Levellized Salt Refinery Plant '!$C$47</f>
        <v>0</v>
      </c>
      <c r="D93" s="75" t="e">
        <f>D89*'Levellized Salt Refinery Plant '!$C$47</f>
        <v>#REF!</v>
      </c>
      <c r="E93" s="75" t="e">
        <f>E89*'Levellized Salt Refinery Plant '!$C$47</f>
        <v>#REF!</v>
      </c>
      <c r="F93" s="75" t="e">
        <f>F89*'Levellized Salt Refinery Plant '!$C$47</f>
        <v>#REF!</v>
      </c>
      <c r="G93" s="75" t="e">
        <f>G89*'Levellized Salt Refinery Plant '!$C$47</f>
        <v>#REF!</v>
      </c>
      <c r="H93" s="75" t="e">
        <f>H89*'Levellized Salt Refinery Plant '!$C$47</f>
        <v>#REF!</v>
      </c>
      <c r="I93" s="75" t="e">
        <f>I89*'Levellized Salt Refinery Plant '!$C$47</f>
        <v>#REF!</v>
      </c>
      <c r="J93" s="75" t="e">
        <f>J89*'Levellized Salt Refinery Plant '!$C$47</f>
        <v>#REF!</v>
      </c>
      <c r="K93" s="75" t="e">
        <f>K89*'Levellized Salt Refinery Plant '!$C$47</f>
        <v>#REF!</v>
      </c>
      <c r="L93" s="75" t="e">
        <f>L89*'Levellized Salt Refinery Plant '!$C$47</f>
        <v>#REF!</v>
      </c>
      <c r="M93" s="75" t="e">
        <f>M89*'Levellized Salt Refinery Plant '!$C$47</f>
        <v>#REF!</v>
      </c>
      <c r="N93" s="75" t="e">
        <f>N89*'Levellized Salt Refinery Plant '!$C$47</f>
        <v>#REF!</v>
      </c>
      <c r="O93" s="75" t="e">
        <f>O89*'Levellized Salt Refinery Plant '!$C$47</f>
        <v>#REF!</v>
      </c>
      <c r="P93" s="75" t="e">
        <f>P89*'Levellized Salt Refinery Plant '!$C$47</f>
        <v>#REF!</v>
      </c>
      <c r="Q93" s="75" t="e">
        <f>Q89*'Levellized Salt Refinery Plant '!$C$47</f>
        <v>#REF!</v>
      </c>
      <c r="R93" s="75" t="e">
        <f>R89*'Levellized Salt Refinery Plant '!$C$47</f>
        <v>#REF!</v>
      </c>
      <c r="S93" s="75" t="e">
        <f>S89*'Levellized Salt Refinery Plant '!$C$47</f>
        <v>#REF!</v>
      </c>
      <c r="T93" s="75" t="e">
        <f>T89*'Levellized Salt Refinery Plant '!$C$47</f>
        <v>#REF!</v>
      </c>
      <c r="U93" s="75" t="e">
        <f>U89*'Levellized Salt Refinery Plant '!$C$47</f>
        <v>#REF!</v>
      </c>
      <c r="V93" s="75" t="e">
        <f>V89*'Levellized Salt Refinery Plant '!$C$47</f>
        <v>#REF!</v>
      </c>
      <c r="W93" s="75" t="e">
        <f>W89*'Levellized Salt Refinery Plant '!$C$47</f>
        <v>#REF!</v>
      </c>
      <c r="X93" s="75" t="e">
        <f>X89*'Levellized Salt Refinery Plant '!$C$47</f>
        <v>#REF!</v>
      </c>
      <c r="Y93" s="75" t="e">
        <f>Y89*'Levellized Salt Refinery Plant '!$C$47</f>
        <v>#REF!</v>
      </c>
      <c r="Z93" s="75" t="e">
        <f>Z89*'Levellized Salt Refinery Plant '!$C$47</f>
        <v>#REF!</v>
      </c>
      <c r="AA93" s="75" t="e">
        <f>AA89*'Levellized Salt Refinery Plant '!$C$47</f>
        <v>#REF!</v>
      </c>
      <c r="AB93" s="75" t="e">
        <f>AB89*'Levellized Salt Refinery Plant '!$C$47</f>
        <v>#REF!</v>
      </c>
      <c r="AC93" s="75" t="e">
        <f>AC89*'Levellized Salt Refinery Plant '!$C$47</f>
        <v>#REF!</v>
      </c>
      <c r="AD93" s="75" t="e">
        <f>AD89*'Levellized Salt Refinery Plant '!$C$47</f>
        <v>#REF!</v>
      </c>
      <c r="AE93" s="75" t="e">
        <f>AE89*'Levellized Salt Refinery Plant '!$C$47</f>
        <v>#REF!</v>
      </c>
      <c r="AF93" s="75" t="e">
        <f>AF89*'Levellized Salt Refinery Plant '!$C$47</f>
        <v>#REF!</v>
      </c>
      <c r="AG93" s="75" t="e">
        <f>AG89*'Levellized Salt Refinery Plant '!$C$47</f>
        <v>#REF!</v>
      </c>
      <c r="AH93" s="75" t="e">
        <f>AH89*'Levellized Salt Refinery Plant '!$C$47</f>
        <v>#REF!</v>
      </c>
      <c r="AI93" s="75" t="e">
        <f>AI89*'Levellized Salt Refinery Plant '!$C$47</f>
        <v>#REF!</v>
      </c>
      <c r="AJ93" s="75" t="e">
        <f>AJ89*'Levellized Salt Refinery Plant '!$C$47</f>
        <v>#REF!</v>
      </c>
      <c r="AK93" s="75" t="e">
        <f>AK89*'Levellized Salt Refinery Plant '!$C$47</f>
        <v>#REF!</v>
      </c>
      <c r="AL93" s="75" t="e">
        <f>AL89*'Levellized Salt Refinery Plant '!$C$47</f>
        <v>#REF!</v>
      </c>
      <c r="AM93" s="75" t="e">
        <f>AM89*'Levellized Salt Refinery Plant '!$C$47</f>
        <v>#REF!</v>
      </c>
      <c r="AN93" s="75" t="e">
        <f>AN89*'Levellized Salt Refinery Plant '!$C$47</f>
        <v>#REF!</v>
      </c>
      <c r="AO93" s="75" t="e">
        <f>AO89*'Levellized Salt Refinery Plant '!$C$47</f>
        <v>#REF!</v>
      </c>
      <c r="AP93" s="75" t="e">
        <f>AP89*'Levellized Salt Refinery Plant '!$C$47</f>
        <v>#REF!</v>
      </c>
      <c r="AQ93" s="75" t="e">
        <f>AQ89*'Levellized Salt Refinery Plant '!$C$47</f>
        <v>#REF!</v>
      </c>
      <c r="AR93" s="75" t="e">
        <f>AR89*'Levellized Salt Refinery Plant '!$C$47</f>
        <v>#REF!</v>
      </c>
      <c r="AS93" s="75" t="e">
        <f>AS89*'Levellized Salt Refinery Plant '!$C$47</f>
        <v>#REF!</v>
      </c>
      <c r="AT93" s="75" t="e">
        <f>AT89*'Levellized Salt Refinery Plant '!$C$47</f>
        <v>#REF!</v>
      </c>
      <c r="AU93" s="75" t="e">
        <f>AU89*'Levellized Salt Refinery Plant '!$C$47</f>
        <v>#REF!</v>
      </c>
      <c r="AV93" s="75" t="e">
        <f>AV89*'Levellized Salt Refinery Plant '!$C$47</f>
        <v>#REF!</v>
      </c>
      <c r="AW93" s="75" t="e">
        <f>AW89*'Levellized Salt Refinery Plant '!$C$47</f>
        <v>#REF!</v>
      </c>
      <c r="AX93" s="75" t="e">
        <f>AX89*'Levellized Salt Refinery Plant '!$C$47</f>
        <v>#REF!</v>
      </c>
      <c r="AY93" s="75" t="e">
        <f>AY89*'Levellized Salt Refinery Plant '!$C$47</f>
        <v>#REF!</v>
      </c>
      <c r="AZ93" s="75" t="e">
        <f>AZ89*'Levellized Salt Refinery Plant '!$C$47</f>
        <v>#REF!</v>
      </c>
      <c r="BA93" s="75" t="e">
        <f>BA89*'Levellized Salt Refinery Plant '!$C$47</f>
        <v>#REF!</v>
      </c>
      <c r="BB93" s="75" t="e">
        <f>BB89*'Levellized Salt Refinery Plant '!$C$47</f>
        <v>#REF!</v>
      </c>
      <c r="BC93" s="75" t="e">
        <f>BC89*'Levellized Salt Refinery Plant '!$C$47</f>
        <v>#REF!</v>
      </c>
      <c r="BD93" s="75" t="e">
        <f>BD89*'Levellized Salt Refinery Plant '!$C$47</f>
        <v>#REF!</v>
      </c>
      <c r="BE93" s="75" t="e">
        <f>BE89*'Levellized Salt Refinery Plant '!$C$47</f>
        <v>#REF!</v>
      </c>
      <c r="BF93" s="75" t="e">
        <f>BF89*'Levellized Salt Refinery Plant '!$C$47</f>
        <v>#REF!</v>
      </c>
      <c r="BG93" s="75" t="e">
        <f>BG89*'Levellized Salt Refinery Plant '!$C$47</f>
        <v>#REF!</v>
      </c>
      <c r="BH93" s="75" t="e">
        <f>BH89*'Levellized Salt Refinery Plant '!$C$47</f>
        <v>#REF!</v>
      </c>
      <c r="BI93" s="75"/>
    </row>
    <row r="94" spans="1:61" hidden="1" x14ac:dyDescent="0.2">
      <c r="A94" t="s">
        <v>561</v>
      </c>
      <c r="B94" s="86">
        <v>3.33</v>
      </c>
      <c r="C94" s="78">
        <v>190</v>
      </c>
      <c r="D94" s="10">
        <f xml:space="preserve"> C94 + $B94</f>
        <v>193.33</v>
      </c>
      <c r="E94" s="10">
        <f t="shared" ref="E94:BH94" si="42" xml:space="preserve"> D94 + $B94</f>
        <v>196.66000000000003</v>
      </c>
      <c r="F94" s="10">
        <f t="shared" si="42"/>
        <v>199.99000000000004</v>
      </c>
      <c r="G94" s="10">
        <f t="shared" si="42"/>
        <v>203.32000000000005</v>
      </c>
      <c r="H94" s="10">
        <f t="shared" si="42"/>
        <v>206.65000000000006</v>
      </c>
      <c r="I94" s="10">
        <f t="shared" si="42"/>
        <v>209.98000000000008</v>
      </c>
      <c r="J94" s="10">
        <f t="shared" si="42"/>
        <v>213.31000000000009</v>
      </c>
      <c r="K94" s="10">
        <f t="shared" si="42"/>
        <v>216.6400000000001</v>
      </c>
      <c r="L94" s="10">
        <f t="shared" si="42"/>
        <v>219.97000000000011</v>
      </c>
      <c r="M94" s="10">
        <f t="shared" si="42"/>
        <v>223.30000000000013</v>
      </c>
      <c r="N94" s="10">
        <f t="shared" si="42"/>
        <v>226.63000000000014</v>
      </c>
      <c r="O94" s="10">
        <f t="shared" si="42"/>
        <v>229.96000000000015</v>
      </c>
      <c r="P94" s="10">
        <f t="shared" si="42"/>
        <v>233.29000000000016</v>
      </c>
      <c r="Q94" s="10">
        <f t="shared" si="42"/>
        <v>236.62000000000018</v>
      </c>
      <c r="R94" s="10">
        <f t="shared" si="42"/>
        <v>239.95000000000019</v>
      </c>
      <c r="S94" s="10">
        <f t="shared" si="42"/>
        <v>243.2800000000002</v>
      </c>
      <c r="T94" s="10">
        <f t="shared" si="42"/>
        <v>246.61000000000021</v>
      </c>
      <c r="U94" s="10">
        <f t="shared" si="42"/>
        <v>249.94000000000023</v>
      </c>
      <c r="V94" s="10">
        <f t="shared" si="42"/>
        <v>253.27000000000024</v>
      </c>
      <c r="W94" s="10">
        <f t="shared" si="42"/>
        <v>256.60000000000025</v>
      </c>
      <c r="X94" s="10">
        <f t="shared" si="42"/>
        <v>259.93000000000023</v>
      </c>
      <c r="Y94" s="10">
        <f t="shared" si="42"/>
        <v>263.26000000000022</v>
      </c>
      <c r="Z94" s="10">
        <f t="shared" si="42"/>
        <v>266.5900000000002</v>
      </c>
      <c r="AA94" s="10">
        <f t="shared" si="42"/>
        <v>269.92000000000019</v>
      </c>
      <c r="AB94" s="10">
        <f t="shared" si="42"/>
        <v>273.25000000000017</v>
      </c>
      <c r="AC94" s="10">
        <f t="shared" si="42"/>
        <v>276.58000000000015</v>
      </c>
      <c r="AD94" s="10">
        <f t="shared" si="42"/>
        <v>279.91000000000014</v>
      </c>
      <c r="AE94" s="10">
        <f t="shared" si="42"/>
        <v>283.24000000000012</v>
      </c>
      <c r="AF94" s="10">
        <f t="shared" si="42"/>
        <v>286.57000000000011</v>
      </c>
      <c r="AG94" s="10">
        <f t="shared" si="42"/>
        <v>289.90000000000009</v>
      </c>
      <c r="AH94" s="10">
        <f t="shared" si="42"/>
        <v>293.23000000000008</v>
      </c>
      <c r="AI94" s="10">
        <f t="shared" si="42"/>
        <v>296.56000000000006</v>
      </c>
      <c r="AJ94" s="10">
        <f t="shared" si="42"/>
        <v>299.89000000000004</v>
      </c>
      <c r="AK94" s="10">
        <f t="shared" si="42"/>
        <v>303.22000000000003</v>
      </c>
      <c r="AL94" s="10">
        <f t="shared" si="42"/>
        <v>306.55</v>
      </c>
      <c r="AM94" s="10">
        <f t="shared" si="42"/>
        <v>309.88</v>
      </c>
      <c r="AN94" s="10">
        <f t="shared" si="42"/>
        <v>313.20999999999998</v>
      </c>
      <c r="AO94" s="10">
        <f t="shared" si="42"/>
        <v>316.53999999999996</v>
      </c>
      <c r="AP94" s="10">
        <f t="shared" si="42"/>
        <v>319.86999999999995</v>
      </c>
      <c r="AQ94" s="10">
        <f t="shared" si="42"/>
        <v>323.19999999999993</v>
      </c>
      <c r="AR94" s="10">
        <f t="shared" si="42"/>
        <v>326.52999999999992</v>
      </c>
      <c r="AS94" s="10">
        <f t="shared" si="42"/>
        <v>329.8599999999999</v>
      </c>
      <c r="AT94" s="10">
        <f t="shared" si="42"/>
        <v>333.18999999999988</v>
      </c>
      <c r="AU94" s="10">
        <f t="shared" si="42"/>
        <v>336.51999999999987</v>
      </c>
      <c r="AV94" s="10">
        <f t="shared" si="42"/>
        <v>339.84999999999985</v>
      </c>
      <c r="AW94" s="10">
        <f t="shared" si="42"/>
        <v>343.17999999999984</v>
      </c>
      <c r="AX94" s="10">
        <f t="shared" si="42"/>
        <v>346.50999999999982</v>
      </c>
      <c r="AY94" s="10">
        <f t="shared" si="42"/>
        <v>349.8399999999998</v>
      </c>
      <c r="AZ94" s="10">
        <f t="shared" si="42"/>
        <v>353.16999999999979</v>
      </c>
      <c r="BA94" s="10">
        <f t="shared" si="42"/>
        <v>356.49999999999977</v>
      </c>
      <c r="BB94" s="10">
        <f t="shared" si="42"/>
        <v>359.82999999999976</v>
      </c>
      <c r="BC94" s="10">
        <f t="shared" si="42"/>
        <v>363.15999999999974</v>
      </c>
      <c r="BD94" s="10">
        <f t="shared" si="42"/>
        <v>366.48999999999972</v>
      </c>
      <c r="BE94" s="10">
        <f t="shared" si="42"/>
        <v>369.81999999999971</v>
      </c>
      <c r="BF94" s="10">
        <f t="shared" si="42"/>
        <v>373.14999999999969</v>
      </c>
      <c r="BG94" s="10">
        <f t="shared" si="42"/>
        <v>376.47999999999968</v>
      </c>
      <c r="BH94" s="10">
        <f t="shared" si="42"/>
        <v>379.80999999999966</v>
      </c>
      <c r="BI94" s="10"/>
    </row>
    <row r="95" spans="1:61" s="72" customFormat="1" hidden="1" x14ac:dyDescent="0.2">
      <c r="A95" s="72" t="s">
        <v>19</v>
      </c>
      <c r="B95" s="128"/>
      <c r="C95" s="73">
        <f t="shared" ref="C95:I95" si="43">C90*C94</f>
        <v>0</v>
      </c>
      <c r="D95" s="73" t="e">
        <f t="shared" si="43"/>
        <v>#REF!</v>
      </c>
      <c r="E95" s="73" t="e">
        <f t="shared" si="43"/>
        <v>#REF!</v>
      </c>
      <c r="F95" s="73" t="e">
        <f t="shared" si="43"/>
        <v>#REF!</v>
      </c>
      <c r="G95" s="73" t="e">
        <f t="shared" si="43"/>
        <v>#REF!</v>
      </c>
      <c r="H95" s="73" t="e">
        <f t="shared" si="43"/>
        <v>#REF!</v>
      </c>
      <c r="I95" s="73" t="e">
        <f t="shared" si="43"/>
        <v>#REF!</v>
      </c>
      <c r="J95" s="73" t="e">
        <f>J90*J94</f>
        <v>#REF!</v>
      </c>
      <c r="K95" s="73" t="e">
        <f t="shared" ref="K95:BH95" si="44">K90*K94</f>
        <v>#REF!</v>
      </c>
      <c r="L95" s="73" t="e">
        <f t="shared" si="44"/>
        <v>#REF!</v>
      </c>
      <c r="M95" s="73" t="e">
        <f t="shared" si="44"/>
        <v>#REF!</v>
      </c>
      <c r="N95" s="73" t="e">
        <f t="shared" si="44"/>
        <v>#REF!</v>
      </c>
      <c r="O95" s="73" t="e">
        <f t="shared" si="44"/>
        <v>#REF!</v>
      </c>
      <c r="P95" s="73" t="e">
        <f t="shared" si="44"/>
        <v>#REF!</v>
      </c>
      <c r="Q95" s="73" t="e">
        <f t="shared" si="44"/>
        <v>#REF!</v>
      </c>
      <c r="R95" s="73" t="e">
        <f t="shared" si="44"/>
        <v>#REF!</v>
      </c>
      <c r="S95" s="73" t="e">
        <f t="shared" si="44"/>
        <v>#REF!</v>
      </c>
      <c r="T95" s="73" t="e">
        <f t="shared" si="44"/>
        <v>#REF!</v>
      </c>
      <c r="U95" s="73" t="e">
        <f t="shared" si="44"/>
        <v>#REF!</v>
      </c>
      <c r="V95" s="73" t="e">
        <f t="shared" si="44"/>
        <v>#REF!</v>
      </c>
      <c r="W95" s="73" t="e">
        <f t="shared" si="44"/>
        <v>#REF!</v>
      </c>
      <c r="X95" s="73" t="e">
        <f t="shared" si="44"/>
        <v>#REF!</v>
      </c>
      <c r="Y95" s="73" t="e">
        <f t="shared" si="44"/>
        <v>#REF!</v>
      </c>
      <c r="Z95" s="73" t="e">
        <f t="shared" si="44"/>
        <v>#REF!</v>
      </c>
      <c r="AA95" s="73" t="e">
        <f t="shared" si="44"/>
        <v>#REF!</v>
      </c>
      <c r="AB95" s="73" t="e">
        <f t="shared" si="44"/>
        <v>#REF!</v>
      </c>
      <c r="AC95" s="73" t="e">
        <f t="shared" si="44"/>
        <v>#REF!</v>
      </c>
      <c r="AD95" s="73" t="e">
        <f t="shared" si="44"/>
        <v>#REF!</v>
      </c>
      <c r="AE95" s="73" t="e">
        <f t="shared" si="44"/>
        <v>#REF!</v>
      </c>
      <c r="AF95" s="73" t="e">
        <f t="shared" si="44"/>
        <v>#REF!</v>
      </c>
      <c r="AG95" s="73" t="e">
        <f t="shared" si="44"/>
        <v>#REF!</v>
      </c>
      <c r="AH95" s="73" t="e">
        <f t="shared" si="44"/>
        <v>#REF!</v>
      </c>
      <c r="AI95" s="73" t="e">
        <f t="shared" si="44"/>
        <v>#REF!</v>
      </c>
      <c r="AJ95" s="73" t="e">
        <f t="shared" si="44"/>
        <v>#REF!</v>
      </c>
      <c r="AK95" s="73" t="e">
        <f t="shared" si="44"/>
        <v>#REF!</v>
      </c>
      <c r="AL95" s="73" t="e">
        <f t="shared" si="44"/>
        <v>#REF!</v>
      </c>
      <c r="AM95" s="73" t="e">
        <f t="shared" si="44"/>
        <v>#REF!</v>
      </c>
      <c r="AN95" s="73" t="e">
        <f t="shared" si="44"/>
        <v>#REF!</v>
      </c>
      <c r="AO95" s="73" t="e">
        <f t="shared" si="44"/>
        <v>#REF!</v>
      </c>
      <c r="AP95" s="73" t="e">
        <f t="shared" si="44"/>
        <v>#REF!</v>
      </c>
      <c r="AQ95" s="73" t="e">
        <f t="shared" si="44"/>
        <v>#REF!</v>
      </c>
      <c r="AR95" s="73" t="e">
        <f t="shared" si="44"/>
        <v>#REF!</v>
      </c>
      <c r="AS95" s="73" t="e">
        <f t="shared" si="44"/>
        <v>#REF!</v>
      </c>
      <c r="AT95" s="73" t="e">
        <f t="shared" si="44"/>
        <v>#REF!</v>
      </c>
      <c r="AU95" s="73" t="e">
        <f t="shared" si="44"/>
        <v>#REF!</v>
      </c>
      <c r="AV95" s="73" t="e">
        <f t="shared" si="44"/>
        <v>#REF!</v>
      </c>
      <c r="AW95" s="73" t="e">
        <f t="shared" si="44"/>
        <v>#REF!</v>
      </c>
      <c r="AX95" s="73" t="e">
        <f t="shared" si="44"/>
        <v>#REF!</v>
      </c>
      <c r="AY95" s="73" t="e">
        <f t="shared" si="44"/>
        <v>#REF!</v>
      </c>
      <c r="AZ95" s="73" t="e">
        <f t="shared" si="44"/>
        <v>#REF!</v>
      </c>
      <c r="BA95" s="73" t="e">
        <f t="shared" si="44"/>
        <v>#REF!</v>
      </c>
      <c r="BB95" s="73" t="e">
        <f t="shared" si="44"/>
        <v>#REF!</v>
      </c>
      <c r="BC95" s="73" t="e">
        <f t="shared" si="44"/>
        <v>#REF!</v>
      </c>
      <c r="BD95" s="73" t="e">
        <f t="shared" si="44"/>
        <v>#REF!</v>
      </c>
      <c r="BE95" s="73" t="e">
        <f t="shared" si="44"/>
        <v>#REF!</v>
      </c>
      <c r="BF95" s="73" t="e">
        <f t="shared" si="44"/>
        <v>#REF!</v>
      </c>
      <c r="BG95" s="73" t="e">
        <f t="shared" si="44"/>
        <v>#REF!</v>
      </c>
      <c r="BH95" s="73" t="e">
        <f t="shared" si="44"/>
        <v>#REF!</v>
      </c>
      <c r="BI95" s="73"/>
    </row>
    <row r="96" spans="1:61" hidden="1" x14ac:dyDescent="0.2">
      <c r="A96" s="79" t="s">
        <v>589</v>
      </c>
      <c r="B96" s="31"/>
      <c r="C96" s="5">
        <f xml:space="preserve"> 1000000 * (0.4913 * C1 - 932.89)</f>
        <v>59536000.00000006</v>
      </c>
      <c r="D96" s="5">
        <f xml:space="preserve"> 1000000 * (0.4913 * D1 - 932.89)</f>
        <v>60027300.000000082</v>
      </c>
      <c r="E96" s="5">
        <f t="shared" ref="E96:BH96" si="45" xml:space="preserve"> 1000000 * (0.4913 * E1 - 932.89)</f>
        <v>60518599.999999993</v>
      </c>
      <c r="F96" s="5">
        <f t="shared" si="45"/>
        <v>61009900.000000015</v>
      </c>
      <c r="G96" s="5">
        <f t="shared" si="45"/>
        <v>61501200.000000037</v>
      </c>
      <c r="H96" s="5">
        <f t="shared" si="45"/>
        <v>61992500.000000067</v>
      </c>
      <c r="I96" s="5">
        <f t="shared" si="45"/>
        <v>62483800.000000089</v>
      </c>
      <c r="J96" s="5">
        <f t="shared" si="45"/>
        <v>62975100</v>
      </c>
      <c r="K96" s="5">
        <f t="shared" si="45"/>
        <v>63466400.000000022</v>
      </c>
      <c r="L96" s="5">
        <f t="shared" si="45"/>
        <v>63957700.000000045</v>
      </c>
      <c r="M96" s="5">
        <f t="shared" si="45"/>
        <v>64449000.000000067</v>
      </c>
      <c r="N96" s="5">
        <f t="shared" si="45"/>
        <v>64940300.000000089</v>
      </c>
      <c r="O96" s="5">
        <f t="shared" si="45"/>
        <v>65431600</v>
      </c>
      <c r="P96" s="5">
        <f t="shared" si="45"/>
        <v>65922900.00000003</v>
      </c>
      <c r="Q96" s="5">
        <f t="shared" si="45"/>
        <v>66414200.000000052</v>
      </c>
      <c r="R96" s="5">
        <f t="shared" si="45"/>
        <v>66905500.000000075</v>
      </c>
      <c r="S96" s="5">
        <f t="shared" si="45"/>
        <v>67396800.000000104</v>
      </c>
      <c r="T96" s="5">
        <f t="shared" si="45"/>
        <v>67888100.000000015</v>
      </c>
      <c r="U96" s="5">
        <f t="shared" si="45"/>
        <v>68379400.00000003</v>
      </c>
      <c r="V96" s="5">
        <f t="shared" si="45"/>
        <v>68870700.00000006</v>
      </c>
      <c r="W96" s="5">
        <f t="shared" si="45"/>
        <v>69362000.000000075</v>
      </c>
      <c r="X96" s="5">
        <f t="shared" si="45"/>
        <v>69853299.999999985</v>
      </c>
      <c r="Y96" s="5">
        <f t="shared" si="45"/>
        <v>70344600.000000015</v>
      </c>
      <c r="Z96" s="5">
        <f t="shared" si="45"/>
        <v>70835900.000000045</v>
      </c>
      <c r="AA96" s="5">
        <f t="shared" si="45"/>
        <v>71327200.00000006</v>
      </c>
      <c r="AB96" s="5">
        <f t="shared" si="45"/>
        <v>71818500.000000089</v>
      </c>
      <c r="AC96" s="5">
        <f t="shared" si="45"/>
        <v>72309800</v>
      </c>
      <c r="AD96" s="5">
        <f t="shared" si="45"/>
        <v>72801100.000000015</v>
      </c>
      <c r="AE96" s="5">
        <f t="shared" si="45"/>
        <v>73292400.000000045</v>
      </c>
      <c r="AF96" s="5">
        <f t="shared" si="45"/>
        <v>73783700.000000075</v>
      </c>
      <c r="AG96" s="5">
        <f t="shared" si="45"/>
        <v>74275000.000000089</v>
      </c>
      <c r="AH96" s="5">
        <f t="shared" si="45"/>
        <v>74766300</v>
      </c>
      <c r="AI96" s="5">
        <f t="shared" si="45"/>
        <v>75257600.00000003</v>
      </c>
      <c r="AJ96" s="5">
        <f t="shared" si="45"/>
        <v>75748900.000000045</v>
      </c>
      <c r="AK96" s="5">
        <f t="shared" si="45"/>
        <v>76240200.000000075</v>
      </c>
      <c r="AL96" s="5">
        <f t="shared" si="45"/>
        <v>76731500.000000089</v>
      </c>
      <c r="AM96" s="5">
        <f t="shared" si="45"/>
        <v>77222800</v>
      </c>
      <c r="AN96" s="5">
        <f t="shared" si="45"/>
        <v>77714100.00000003</v>
      </c>
      <c r="AO96" s="5">
        <f t="shared" si="45"/>
        <v>78205400.00000006</v>
      </c>
      <c r="AP96" s="5">
        <f t="shared" si="45"/>
        <v>78696700.000000075</v>
      </c>
      <c r="AQ96" s="5">
        <f t="shared" si="45"/>
        <v>79187999.999999985</v>
      </c>
      <c r="AR96" s="5">
        <f t="shared" si="45"/>
        <v>79679300.000000015</v>
      </c>
      <c r="AS96" s="5">
        <f t="shared" si="45"/>
        <v>80170600.00000003</v>
      </c>
      <c r="AT96" s="5">
        <f t="shared" si="45"/>
        <v>80661900.00000006</v>
      </c>
      <c r="AU96" s="5">
        <f t="shared" si="45"/>
        <v>81153200.000000089</v>
      </c>
      <c r="AV96" s="5">
        <f t="shared" si="45"/>
        <v>81644500</v>
      </c>
      <c r="AW96" s="5">
        <f t="shared" si="45"/>
        <v>82135800.000000015</v>
      </c>
      <c r="AX96" s="5">
        <f t="shared" si="45"/>
        <v>82627100.000000045</v>
      </c>
      <c r="AY96" s="5">
        <f t="shared" si="45"/>
        <v>83118400.00000006</v>
      </c>
      <c r="AZ96" s="5">
        <f t="shared" si="45"/>
        <v>83609700.000000089</v>
      </c>
      <c r="BA96" s="5">
        <f t="shared" si="45"/>
        <v>84101000</v>
      </c>
      <c r="BB96" s="5">
        <f t="shared" si="45"/>
        <v>84592300.00000003</v>
      </c>
      <c r="BC96" s="5">
        <f t="shared" si="45"/>
        <v>85083600.000000045</v>
      </c>
      <c r="BD96" s="5">
        <f t="shared" si="45"/>
        <v>85574900.000000075</v>
      </c>
      <c r="BE96" s="5">
        <f t="shared" si="45"/>
        <v>86066200.000000089</v>
      </c>
      <c r="BF96" s="5">
        <f t="shared" si="45"/>
        <v>86557500</v>
      </c>
      <c r="BG96" s="5">
        <f t="shared" si="45"/>
        <v>87048800.00000003</v>
      </c>
      <c r="BH96" s="5">
        <f t="shared" si="45"/>
        <v>87540100.00000006</v>
      </c>
    </row>
    <row r="97" spans="1:61" hidden="1" x14ac:dyDescent="0.2">
      <c r="A97" t="s">
        <v>450</v>
      </c>
      <c r="B97" s="31"/>
      <c r="C97" s="5" t="e">
        <f t="shared" ref="C97:BH97" si="46" xml:space="preserve"> SUM(C28,C80)</f>
        <v>#REF!</v>
      </c>
      <c r="D97" s="5" t="e">
        <f t="shared" si="46"/>
        <v>#REF!</v>
      </c>
      <c r="E97" s="5" t="e">
        <f t="shared" si="46"/>
        <v>#REF!</v>
      </c>
      <c r="F97" s="5" t="e">
        <f t="shared" si="46"/>
        <v>#REF!</v>
      </c>
      <c r="G97" s="5" t="e">
        <f t="shared" si="46"/>
        <v>#REF!</v>
      </c>
      <c r="H97" s="5" t="e">
        <f t="shared" si="46"/>
        <v>#REF!</v>
      </c>
      <c r="I97" s="5" t="e">
        <f t="shared" si="46"/>
        <v>#REF!</v>
      </c>
      <c r="J97" s="5" t="e">
        <f t="shared" si="46"/>
        <v>#REF!</v>
      </c>
      <c r="K97" s="5" t="e">
        <f t="shared" si="46"/>
        <v>#REF!</v>
      </c>
      <c r="L97" s="5" t="e">
        <f t="shared" si="46"/>
        <v>#REF!</v>
      </c>
      <c r="M97" s="5" t="e">
        <f t="shared" si="46"/>
        <v>#REF!</v>
      </c>
      <c r="N97" s="5" t="e">
        <f t="shared" si="46"/>
        <v>#REF!</v>
      </c>
      <c r="O97" s="5" t="e">
        <f t="shared" si="46"/>
        <v>#REF!</v>
      </c>
      <c r="P97" s="5" t="e">
        <f t="shared" si="46"/>
        <v>#REF!</v>
      </c>
      <c r="Q97" s="5" t="e">
        <f t="shared" si="46"/>
        <v>#REF!</v>
      </c>
      <c r="R97" s="5" t="e">
        <f t="shared" si="46"/>
        <v>#REF!</v>
      </c>
      <c r="S97" s="5" t="e">
        <f t="shared" si="46"/>
        <v>#REF!</v>
      </c>
      <c r="T97" s="5" t="e">
        <f t="shared" si="46"/>
        <v>#REF!</v>
      </c>
      <c r="U97" s="5" t="e">
        <f t="shared" si="46"/>
        <v>#REF!</v>
      </c>
      <c r="V97" s="5" t="e">
        <f t="shared" si="46"/>
        <v>#REF!</v>
      </c>
      <c r="W97" s="5" t="e">
        <f t="shared" si="46"/>
        <v>#REF!</v>
      </c>
      <c r="X97" s="5" t="e">
        <f t="shared" si="46"/>
        <v>#REF!</v>
      </c>
      <c r="Y97" s="5" t="e">
        <f t="shared" si="46"/>
        <v>#REF!</v>
      </c>
      <c r="Z97" s="5" t="e">
        <f t="shared" si="46"/>
        <v>#REF!</v>
      </c>
      <c r="AA97" s="5" t="e">
        <f t="shared" si="46"/>
        <v>#REF!</v>
      </c>
      <c r="AB97" s="5" t="e">
        <f t="shared" si="46"/>
        <v>#REF!</v>
      </c>
      <c r="AC97" s="5" t="e">
        <f t="shared" si="46"/>
        <v>#REF!</v>
      </c>
      <c r="AD97" s="5" t="e">
        <f t="shared" si="46"/>
        <v>#REF!</v>
      </c>
      <c r="AE97" s="5" t="e">
        <f t="shared" si="46"/>
        <v>#REF!</v>
      </c>
      <c r="AF97" s="5" t="e">
        <f t="shared" si="46"/>
        <v>#REF!</v>
      </c>
      <c r="AG97" s="5" t="e">
        <f t="shared" si="46"/>
        <v>#REF!</v>
      </c>
      <c r="AH97" s="5" t="e">
        <f t="shared" si="46"/>
        <v>#REF!</v>
      </c>
      <c r="AI97" s="5" t="e">
        <f t="shared" si="46"/>
        <v>#REF!</v>
      </c>
      <c r="AJ97" s="5" t="e">
        <f t="shared" si="46"/>
        <v>#REF!</v>
      </c>
      <c r="AK97" s="5" t="e">
        <f t="shared" si="46"/>
        <v>#REF!</v>
      </c>
      <c r="AL97" s="5" t="e">
        <f t="shared" si="46"/>
        <v>#REF!</v>
      </c>
      <c r="AM97" s="5" t="e">
        <f t="shared" si="46"/>
        <v>#REF!</v>
      </c>
      <c r="AN97" s="5" t="e">
        <f t="shared" si="46"/>
        <v>#REF!</v>
      </c>
      <c r="AO97" s="5" t="e">
        <f t="shared" si="46"/>
        <v>#REF!</v>
      </c>
      <c r="AP97" s="5" t="e">
        <f t="shared" si="46"/>
        <v>#REF!</v>
      </c>
      <c r="AQ97" s="5" t="e">
        <f t="shared" si="46"/>
        <v>#REF!</v>
      </c>
      <c r="AR97" s="5" t="e">
        <f t="shared" si="46"/>
        <v>#REF!</v>
      </c>
      <c r="AS97" s="5" t="e">
        <f t="shared" si="46"/>
        <v>#REF!</v>
      </c>
      <c r="AT97" s="5" t="e">
        <f t="shared" si="46"/>
        <v>#REF!</v>
      </c>
      <c r="AU97" s="5" t="e">
        <f t="shared" si="46"/>
        <v>#REF!</v>
      </c>
      <c r="AV97" s="5" t="e">
        <f t="shared" si="46"/>
        <v>#REF!</v>
      </c>
      <c r="AW97" s="5" t="e">
        <f t="shared" si="46"/>
        <v>#REF!</v>
      </c>
      <c r="AX97" s="5" t="e">
        <f t="shared" si="46"/>
        <v>#REF!</v>
      </c>
      <c r="AY97" s="5" t="e">
        <f t="shared" si="46"/>
        <v>#REF!</v>
      </c>
      <c r="AZ97" s="5" t="e">
        <f t="shared" si="46"/>
        <v>#REF!</v>
      </c>
      <c r="BA97" s="5" t="e">
        <f t="shared" si="46"/>
        <v>#REF!</v>
      </c>
      <c r="BB97" s="5" t="e">
        <f t="shared" si="46"/>
        <v>#REF!</v>
      </c>
      <c r="BC97" s="5" t="e">
        <f t="shared" si="46"/>
        <v>#REF!</v>
      </c>
      <c r="BD97" s="5" t="e">
        <f t="shared" si="46"/>
        <v>#REF!</v>
      </c>
      <c r="BE97" s="5" t="e">
        <f t="shared" si="46"/>
        <v>#REF!</v>
      </c>
      <c r="BF97" s="5" t="e">
        <f t="shared" si="46"/>
        <v>#REF!</v>
      </c>
      <c r="BG97" s="5" t="e">
        <f t="shared" si="46"/>
        <v>#REF!</v>
      </c>
      <c r="BH97" s="5" t="e">
        <f t="shared" si="46"/>
        <v>#REF!</v>
      </c>
      <c r="BI97" s="5"/>
    </row>
    <row r="98" spans="1:61" hidden="1" x14ac:dyDescent="0.2">
      <c r="A98" t="s">
        <v>571</v>
      </c>
      <c r="B98" s="31"/>
      <c r="C98" s="31" t="e">
        <f xml:space="preserve"> C97/(0.09 * C96)</f>
        <v>#REF!</v>
      </c>
      <c r="D98" s="31" t="e">
        <f xml:space="preserve"> D97/(0.09 * D96)</f>
        <v>#REF!</v>
      </c>
      <c r="E98" s="31" t="e">
        <f t="shared" ref="E98:BH98" si="47" xml:space="preserve"> E97/(0.09 * E96)</f>
        <v>#REF!</v>
      </c>
      <c r="F98" s="31" t="e">
        <f t="shared" si="47"/>
        <v>#REF!</v>
      </c>
      <c r="G98" s="31" t="e">
        <f t="shared" si="47"/>
        <v>#REF!</v>
      </c>
      <c r="H98" s="31" t="e">
        <f t="shared" si="47"/>
        <v>#REF!</v>
      </c>
      <c r="I98" s="31" t="e">
        <f t="shared" si="47"/>
        <v>#REF!</v>
      </c>
      <c r="J98" s="31" t="e">
        <f t="shared" si="47"/>
        <v>#REF!</v>
      </c>
      <c r="K98" s="31" t="e">
        <f t="shared" si="47"/>
        <v>#REF!</v>
      </c>
      <c r="L98" s="31" t="e">
        <f t="shared" si="47"/>
        <v>#REF!</v>
      </c>
      <c r="M98" s="31" t="e">
        <f t="shared" si="47"/>
        <v>#REF!</v>
      </c>
      <c r="N98" s="31" t="e">
        <f t="shared" si="47"/>
        <v>#REF!</v>
      </c>
      <c r="O98" s="31" t="e">
        <f t="shared" si="47"/>
        <v>#REF!</v>
      </c>
      <c r="P98" s="31" t="e">
        <f t="shared" si="47"/>
        <v>#REF!</v>
      </c>
      <c r="Q98" s="31" t="e">
        <f t="shared" si="47"/>
        <v>#REF!</v>
      </c>
      <c r="R98" s="31" t="e">
        <f t="shared" si="47"/>
        <v>#REF!</v>
      </c>
      <c r="S98" s="31" t="e">
        <f t="shared" si="47"/>
        <v>#REF!</v>
      </c>
      <c r="T98" s="31" t="e">
        <f t="shared" si="47"/>
        <v>#REF!</v>
      </c>
      <c r="U98" s="31" t="e">
        <f t="shared" si="47"/>
        <v>#REF!</v>
      </c>
      <c r="V98" s="31" t="e">
        <f t="shared" si="47"/>
        <v>#REF!</v>
      </c>
      <c r="W98" s="31" t="e">
        <f t="shared" si="47"/>
        <v>#REF!</v>
      </c>
      <c r="X98" s="31" t="e">
        <f t="shared" si="47"/>
        <v>#REF!</v>
      </c>
      <c r="Y98" s="31" t="e">
        <f t="shared" si="47"/>
        <v>#REF!</v>
      </c>
      <c r="Z98" s="31" t="e">
        <f t="shared" si="47"/>
        <v>#REF!</v>
      </c>
      <c r="AA98" s="31" t="e">
        <f t="shared" si="47"/>
        <v>#REF!</v>
      </c>
      <c r="AB98" s="31" t="e">
        <f t="shared" si="47"/>
        <v>#REF!</v>
      </c>
      <c r="AC98" s="31" t="e">
        <f t="shared" si="47"/>
        <v>#REF!</v>
      </c>
      <c r="AD98" s="31" t="e">
        <f t="shared" si="47"/>
        <v>#REF!</v>
      </c>
      <c r="AE98" s="31" t="e">
        <f t="shared" si="47"/>
        <v>#REF!</v>
      </c>
      <c r="AF98" s="31" t="e">
        <f t="shared" si="47"/>
        <v>#REF!</v>
      </c>
      <c r="AG98" s="31" t="e">
        <f t="shared" si="47"/>
        <v>#REF!</v>
      </c>
      <c r="AH98" s="31" t="e">
        <f t="shared" si="47"/>
        <v>#REF!</v>
      </c>
      <c r="AI98" s="31" t="e">
        <f t="shared" si="47"/>
        <v>#REF!</v>
      </c>
      <c r="AJ98" s="31" t="e">
        <f t="shared" si="47"/>
        <v>#REF!</v>
      </c>
      <c r="AK98" s="31" t="e">
        <f t="shared" si="47"/>
        <v>#REF!</v>
      </c>
      <c r="AL98" s="31" t="e">
        <f t="shared" si="47"/>
        <v>#REF!</v>
      </c>
      <c r="AM98" s="31" t="e">
        <f t="shared" si="47"/>
        <v>#REF!</v>
      </c>
      <c r="AN98" s="31" t="e">
        <f t="shared" si="47"/>
        <v>#REF!</v>
      </c>
      <c r="AO98" s="31" t="e">
        <f t="shared" si="47"/>
        <v>#REF!</v>
      </c>
      <c r="AP98" s="31" t="e">
        <f t="shared" si="47"/>
        <v>#REF!</v>
      </c>
      <c r="AQ98" s="31" t="e">
        <f t="shared" si="47"/>
        <v>#REF!</v>
      </c>
      <c r="AR98" s="31" t="e">
        <f t="shared" si="47"/>
        <v>#REF!</v>
      </c>
      <c r="AS98" s="31" t="e">
        <f t="shared" si="47"/>
        <v>#REF!</v>
      </c>
      <c r="AT98" s="31" t="e">
        <f t="shared" si="47"/>
        <v>#REF!</v>
      </c>
      <c r="AU98" s="31" t="e">
        <f t="shared" si="47"/>
        <v>#REF!</v>
      </c>
      <c r="AV98" s="31" t="e">
        <f t="shared" si="47"/>
        <v>#REF!</v>
      </c>
      <c r="AW98" s="31" t="e">
        <f t="shared" si="47"/>
        <v>#REF!</v>
      </c>
      <c r="AX98" s="31" t="e">
        <f t="shared" si="47"/>
        <v>#REF!</v>
      </c>
      <c r="AY98" s="31" t="e">
        <f t="shared" si="47"/>
        <v>#REF!</v>
      </c>
      <c r="AZ98" s="31" t="e">
        <f t="shared" si="47"/>
        <v>#REF!</v>
      </c>
      <c r="BA98" s="31" t="e">
        <f t="shared" si="47"/>
        <v>#REF!</v>
      </c>
      <c r="BB98" s="31" t="e">
        <f t="shared" si="47"/>
        <v>#REF!</v>
      </c>
      <c r="BC98" s="31" t="e">
        <f t="shared" si="47"/>
        <v>#REF!</v>
      </c>
      <c r="BD98" s="31" t="e">
        <f t="shared" si="47"/>
        <v>#REF!</v>
      </c>
      <c r="BE98" s="31" t="e">
        <f t="shared" si="47"/>
        <v>#REF!</v>
      </c>
      <c r="BF98" s="31" t="e">
        <f t="shared" si="47"/>
        <v>#REF!</v>
      </c>
      <c r="BG98" s="31" t="e">
        <f t="shared" si="47"/>
        <v>#REF!</v>
      </c>
      <c r="BH98" s="31" t="e">
        <f t="shared" si="47"/>
        <v>#REF!</v>
      </c>
      <c r="BI98" s="31"/>
    </row>
    <row r="99" spans="1:61" hidden="1" x14ac:dyDescent="0.2">
      <c r="A99" t="s">
        <v>452</v>
      </c>
      <c r="B99" s="31"/>
      <c r="C99" s="5">
        <f t="shared" ref="C99:BH99" si="48" xml:space="preserve"> SUM(C38,C90)</f>
        <v>0</v>
      </c>
      <c r="D99" s="5" t="e">
        <f t="shared" si="48"/>
        <v>#REF!</v>
      </c>
      <c r="E99" s="5" t="e">
        <f t="shared" si="48"/>
        <v>#REF!</v>
      </c>
      <c r="F99" s="5" t="e">
        <f t="shared" si="48"/>
        <v>#REF!</v>
      </c>
      <c r="G99" s="5" t="e">
        <f t="shared" si="48"/>
        <v>#REF!</v>
      </c>
      <c r="H99" s="5" t="e">
        <f t="shared" si="48"/>
        <v>#REF!</v>
      </c>
      <c r="I99" s="5" t="e">
        <f t="shared" si="48"/>
        <v>#REF!</v>
      </c>
      <c r="J99" s="5" t="e">
        <f t="shared" si="48"/>
        <v>#REF!</v>
      </c>
      <c r="K99" s="5" t="e">
        <f t="shared" si="48"/>
        <v>#REF!</v>
      </c>
      <c r="L99" s="5" t="e">
        <f t="shared" si="48"/>
        <v>#REF!</v>
      </c>
      <c r="M99" s="5" t="e">
        <f t="shared" si="48"/>
        <v>#REF!</v>
      </c>
      <c r="N99" s="5" t="e">
        <f t="shared" si="48"/>
        <v>#REF!</v>
      </c>
      <c r="O99" s="5" t="e">
        <f t="shared" si="48"/>
        <v>#REF!</v>
      </c>
      <c r="P99" s="5" t="e">
        <f t="shared" si="48"/>
        <v>#REF!</v>
      </c>
      <c r="Q99" s="5" t="e">
        <f t="shared" si="48"/>
        <v>#REF!</v>
      </c>
      <c r="R99" s="5" t="e">
        <f t="shared" si="48"/>
        <v>#REF!</v>
      </c>
      <c r="S99" s="5" t="e">
        <f t="shared" si="48"/>
        <v>#REF!</v>
      </c>
      <c r="T99" s="5" t="e">
        <f t="shared" si="48"/>
        <v>#REF!</v>
      </c>
      <c r="U99" s="5" t="e">
        <f t="shared" si="48"/>
        <v>#REF!</v>
      </c>
      <c r="V99" s="5" t="e">
        <f t="shared" si="48"/>
        <v>#REF!</v>
      </c>
      <c r="W99" s="5" t="e">
        <f t="shared" si="48"/>
        <v>#REF!</v>
      </c>
      <c r="X99" s="5" t="e">
        <f t="shared" si="48"/>
        <v>#REF!</v>
      </c>
      <c r="Y99" s="5" t="e">
        <f t="shared" si="48"/>
        <v>#REF!</v>
      </c>
      <c r="Z99" s="5" t="e">
        <f t="shared" si="48"/>
        <v>#REF!</v>
      </c>
      <c r="AA99" s="5" t="e">
        <f t="shared" si="48"/>
        <v>#REF!</v>
      </c>
      <c r="AB99" s="5" t="e">
        <f t="shared" si="48"/>
        <v>#REF!</v>
      </c>
      <c r="AC99" s="5" t="e">
        <f t="shared" si="48"/>
        <v>#REF!</v>
      </c>
      <c r="AD99" s="5" t="e">
        <f t="shared" si="48"/>
        <v>#REF!</v>
      </c>
      <c r="AE99" s="5" t="e">
        <f t="shared" si="48"/>
        <v>#REF!</v>
      </c>
      <c r="AF99" s="5" t="e">
        <f t="shared" si="48"/>
        <v>#REF!</v>
      </c>
      <c r="AG99" s="5" t="e">
        <f t="shared" si="48"/>
        <v>#REF!</v>
      </c>
      <c r="AH99" s="5" t="e">
        <f t="shared" si="48"/>
        <v>#REF!</v>
      </c>
      <c r="AI99" s="5" t="e">
        <f t="shared" si="48"/>
        <v>#REF!</v>
      </c>
      <c r="AJ99" s="5" t="e">
        <f t="shared" si="48"/>
        <v>#REF!</v>
      </c>
      <c r="AK99" s="5" t="e">
        <f t="shared" si="48"/>
        <v>#REF!</v>
      </c>
      <c r="AL99" s="5" t="e">
        <f t="shared" si="48"/>
        <v>#REF!</v>
      </c>
      <c r="AM99" s="5" t="e">
        <f t="shared" si="48"/>
        <v>#REF!</v>
      </c>
      <c r="AN99" s="5" t="e">
        <f t="shared" si="48"/>
        <v>#REF!</v>
      </c>
      <c r="AO99" s="5" t="e">
        <f t="shared" si="48"/>
        <v>#REF!</v>
      </c>
      <c r="AP99" s="5" t="e">
        <f t="shared" si="48"/>
        <v>#REF!</v>
      </c>
      <c r="AQ99" s="5" t="e">
        <f t="shared" si="48"/>
        <v>#REF!</v>
      </c>
      <c r="AR99" s="5" t="e">
        <f t="shared" si="48"/>
        <v>#REF!</v>
      </c>
      <c r="AS99" s="5" t="e">
        <f t="shared" si="48"/>
        <v>#REF!</v>
      </c>
      <c r="AT99" s="5" t="e">
        <f t="shared" si="48"/>
        <v>#REF!</v>
      </c>
      <c r="AU99" s="5" t="e">
        <f t="shared" si="48"/>
        <v>#REF!</v>
      </c>
      <c r="AV99" s="5" t="e">
        <f t="shared" si="48"/>
        <v>#REF!</v>
      </c>
      <c r="AW99" s="5" t="e">
        <f t="shared" si="48"/>
        <v>#REF!</v>
      </c>
      <c r="AX99" s="5" t="e">
        <f t="shared" si="48"/>
        <v>#REF!</v>
      </c>
      <c r="AY99" s="5" t="e">
        <f t="shared" si="48"/>
        <v>#REF!</v>
      </c>
      <c r="AZ99" s="5" t="e">
        <f t="shared" si="48"/>
        <v>#REF!</v>
      </c>
      <c r="BA99" s="5" t="e">
        <f t="shared" si="48"/>
        <v>#REF!</v>
      </c>
      <c r="BB99" s="5" t="e">
        <f t="shared" si="48"/>
        <v>#REF!</v>
      </c>
      <c r="BC99" s="5" t="e">
        <f t="shared" si="48"/>
        <v>#REF!</v>
      </c>
      <c r="BD99" s="5" t="e">
        <f t="shared" si="48"/>
        <v>#REF!</v>
      </c>
      <c r="BE99" s="5" t="e">
        <f t="shared" si="48"/>
        <v>#REF!</v>
      </c>
      <c r="BF99" s="5" t="e">
        <f t="shared" si="48"/>
        <v>#REF!</v>
      </c>
      <c r="BG99" s="5" t="e">
        <f t="shared" si="48"/>
        <v>#REF!</v>
      </c>
      <c r="BH99" s="5" t="e">
        <f t="shared" si="48"/>
        <v>#REF!</v>
      </c>
      <c r="BI99" s="5"/>
    </row>
    <row r="100" spans="1:61" hidden="1" x14ac:dyDescent="0.2">
      <c r="A100" t="s">
        <v>572</v>
      </c>
      <c r="B100" s="31"/>
      <c r="C100" s="31">
        <f xml:space="preserve"> C99/(0.09 * C96)</f>
        <v>0</v>
      </c>
      <c r="D100" s="31" t="e">
        <f xml:space="preserve"> D99/(0.09 * D96)</f>
        <v>#REF!</v>
      </c>
      <c r="E100" s="31" t="e">
        <f t="shared" ref="E100:BH100" si="49" xml:space="preserve"> E99/(0.09 * E96)</f>
        <v>#REF!</v>
      </c>
      <c r="F100" s="31" t="e">
        <f t="shared" si="49"/>
        <v>#REF!</v>
      </c>
      <c r="G100" s="31" t="e">
        <f t="shared" si="49"/>
        <v>#REF!</v>
      </c>
      <c r="H100" s="31" t="e">
        <f t="shared" si="49"/>
        <v>#REF!</v>
      </c>
      <c r="I100" s="31" t="e">
        <f t="shared" si="49"/>
        <v>#REF!</v>
      </c>
      <c r="J100" s="31" t="e">
        <f t="shared" si="49"/>
        <v>#REF!</v>
      </c>
      <c r="K100" s="31" t="e">
        <f t="shared" si="49"/>
        <v>#REF!</v>
      </c>
      <c r="L100" s="31" t="e">
        <f t="shared" si="49"/>
        <v>#REF!</v>
      </c>
      <c r="M100" s="31" t="e">
        <f t="shared" si="49"/>
        <v>#REF!</v>
      </c>
      <c r="N100" s="31" t="e">
        <f t="shared" si="49"/>
        <v>#REF!</v>
      </c>
      <c r="O100" s="31" t="e">
        <f t="shared" si="49"/>
        <v>#REF!</v>
      </c>
      <c r="P100" s="31" t="e">
        <f t="shared" si="49"/>
        <v>#REF!</v>
      </c>
      <c r="Q100" s="31" t="e">
        <f t="shared" si="49"/>
        <v>#REF!</v>
      </c>
      <c r="R100" s="31" t="e">
        <f t="shared" si="49"/>
        <v>#REF!</v>
      </c>
      <c r="S100" s="31" t="e">
        <f t="shared" si="49"/>
        <v>#REF!</v>
      </c>
      <c r="T100" s="31" t="e">
        <f t="shared" si="49"/>
        <v>#REF!</v>
      </c>
      <c r="U100" s="31" t="e">
        <f t="shared" si="49"/>
        <v>#REF!</v>
      </c>
      <c r="V100" s="31" t="e">
        <f t="shared" si="49"/>
        <v>#REF!</v>
      </c>
      <c r="W100" s="31" t="e">
        <f t="shared" si="49"/>
        <v>#REF!</v>
      </c>
      <c r="X100" s="31" t="e">
        <f t="shared" si="49"/>
        <v>#REF!</v>
      </c>
      <c r="Y100" s="31" t="e">
        <f t="shared" si="49"/>
        <v>#REF!</v>
      </c>
      <c r="Z100" s="31" t="e">
        <f t="shared" si="49"/>
        <v>#REF!</v>
      </c>
      <c r="AA100" s="31" t="e">
        <f t="shared" si="49"/>
        <v>#REF!</v>
      </c>
      <c r="AB100" s="31" t="e">
        <f t="shared" si="49"/>
        <v>#REF!</v>
      </c>
      <c r="AC100" s="31" t="e">
        <f t="shared" si="49"/>
        <v>#REF!</v>
      </c>
      <c r="AD100" s="31" t="e">
        <f t="shared" si="49"/>
        <v>#REF!</v>
      </c>
      <c r="AE100" s="31" t="e">
        <f t="shared" si="49"/>
        <v>#REF!</v>
      </c>
      <c r="AF100" s="31" t="e">
        <f t="shared" si="49"/>
        <v>#REF!</v>
      </c>
      <c r="AG100" s="31" t="e">
        <f t="shared" si="49"/>
        <v>#REF!</v>
      </c>
      <c r="AH100" s="31" t="e">
        <f t="shared" si="49"/>
        <v>#REF!</v>
      </c>
      <c r="AI100" s="31" t="e">
        <f t="shared" si="49"/>
        <v>#REF!</v>
      </c>
      <c r="AJ100" s="31" t="e">
        <f t="shared" si="49"/>
        <v>#REF!</v>
      </c>
      <c r="AK100" s="31" t="e">
        <f t="shared" si="49"/>
        <v>#REF!</v>
      </c>
      <c r="AL100" s="31" t="e">
        <f t="shared" si="49"/>
        <v>#REF!</v>
      </c>
      <c r="AM100" s="31" t="e">
        <f t="shared" si="49"/>
        <v>#REF!</v>
      </c>
      <c r="AN100" s="31" t="e">
        <f t="shared" si="49"/>
        <v>#REF!</v>
      </c>
      <c r="AO100" s="31" t="e">
        <f t="shared" si="49"/>
        <v>#REF!</v>
      </c>
      <c r="AP100" s="31" t="e">
        <f t="shared" si="49"/>
        <v>#REF!</v>
      </c>
      <c r="AQ100" s="31" t="e">
        <f t="shared" si="49"/>
        <v>#REF!</v>
      </c>
      <c r="AR100" s="31" t="e">
        <f t="shared" si="49"/>
        <v>#REF!</v>
      </c>
      <c r="AS100" s="31" t="e">
        <f t="shared" si="49"/>
        <v>#REF!</v>
      </c>
      <c r="AT100" s="31" t="e">
        <f t="shared" si="49"/>
        <v>#REF!</v>
      </c>
      <c r="AU100" s="31" t="e">
        <f t="shared" si="49"/>
        <v>#REF!</v>
      </c>
      <c r="AV100" s="31" t="e">
        <f t="shared" si="49"/>
        <v>#REF!</v>
      </c>
      <c r="AW100" s="31" t="e">
        <f t="shared" si="49"/>
        <v>#REF!</v>
      </c>
      <c r="AX100" s="31" t="e">
        <f t="shared" si="49"/>
        <v>#REF!</v>
      </c>
      <c r="AY100" s="31" t="e">
        <f t="shared" si="49"/>
        <v>#REF!</v>
      </c>
      <c r="AZ100" s="31" t="e">
        <f t="shared" si="49"/>
        <v>#REF!</v>
      </c>
      <c r="BA100" s="31" t="e">
        <f t="shared" si="49"/>
        <v>#REF!</v>
      </c>
      <c r="BB100" s="31" t="e">
        <f t="shared" si="49"/>
        <v>#REF!</v>
      </c>
      <c r="BC100" s="31" t="e">
        <f t="shared" si="49"/>
        <v>#REF!</v>
      </c>
      <c r="BD100" s="31" t="e">
        <f t="shared" si="49"/>
        <v>#REF!</v>
      </c>
      <c r="BE100" s="31" t="e">
        <f t="shared" si="49"/>
        <v>#REF!</v>
      </c>
      <c r="BF100" s="31" t="e">
        <f t="shared" si="49"/>
        <v>#REF!</v>
      </c>
      <c r="BG100" s="31" t="e">
        <f t="shared" si="49"/>
        <v>#REF!</v>
      </c>
      <c r="BH100" s="31" t="e">
        <f t="shared" si="49"/>
        <v>#REF!</v>
      </c>
      <c r="BI100" s="31"/>
    </row>
    <row r="101" spans="1:61" x14ac:dyDescent="0.2">
      <c r="A101" t="s">
        <v>458</v>
      </c>
      <c r="B101" s="31"/>
      <c r="C101" s="5" t="e">
        <f xml:space="preserve"> C97 + C99</f>
        <v>#REF!</v>
      </c>
      <c r="D101" s="5" t="e">
        <f t="shared" ref="D101:BH101" si="50" xml:space="preserve"> D97 + D99</f>
        <v>#REF!</v>
      </c>
      <c r="E101" s="5" t="e">
        <f t="shared" si="50"/>
        <v>#REF!</v>
      </c>
      <c r="F101" s="5" t="e">
        <f xml:space="preserve"> F97 + F99</f>
        <v>#REF!</v>
      </c>
      <c r="G101" s="5" t="e">
        <f t="shared" si="50"/>
        <v>#REF!</v>
      </c>
      <c r="H101" s="5" t="e">
        <f t="shared" si="50"/>
        <v>#REF!</v>
      </c>
      <c r="I101" s="5" t="e">
        <f t="shared" si="50"/>
        <v>#REF!</v>
      </c>
      <c r="J101" s="5" t="e">
        <f t="shared" si="50"/>
        <v>#REF!</v>
      </c>
      <c r="K101" s="5" t="e">
        <f t="shared" si="50"/>
        <v>#REF!</v>
      </c>
      <c r="L101" s="5" t="e">
        <f t="shared" si="50"/>
        <v>#REF!</v>
      </c>
      <c r="M101" s="5" t="e">
        <f t="shared" si="50"/>
        <v>#REF!</v>
      </c>
      <c r="N101" s="5" t="e">
        <f t="shared" si="50"/>
        <v>#REF!</v>
      </c>
      <c r="O101" s="5" t="e">
        <f t="shared" si="50"/>
        <v>#REF!</v>
      </c>
      <c r="P101" s="5" t="e">
        <f t="shared" si="50"/>
        <v>#REF!</v>
      </c>
      <c r="Q101" s="5" t="e">
        <f t="shared" si="50"/>
        <v>#REF!</v>
      </c>
      <c r="R101" s="5" t="e">
        <f t="shared" si="50"/>
        <v>#REF!</v>
      </c>
      <c r="S101" s="5" t="e">
        <f t="shared" si="50"/>
        <v>#REF!</v>
      </c>
      <c r="T101" s="5" t="e">
        <f t="shared" si="50"/>
        <v>#REF!</v>
      </c>
      <c r="U101" s="5" t="e">
        <f t="shared" si="50"/>
        <v>#REF!</v>
      </c>
      <c r="V101" s="5" t="e">
        <f t="shared" si="50"/>
        <v>#REF!</v>
      </c>
      <c r="W101" s="5" t="e">
        <f t="shared" si="50"/>
        <v>#REF!</v>
      </c>
      <c r="X101" s="5" t="e">
        <f t="shared" si="50"/>
        <v>#REF!</v>
      </c>
      <c r="Y101" s="5" t="e">
        <f t="shared" si="50"/>
        <v>#REF!</v>
      </c>
      <c r="Z101" s="5" t="e">
        <f t="shared" si="50"/>
        <v>#REF!</v>
      </c>
      <c r="AA101" s="5" t="e">
        <f t="shared" si="50"/>
        <v>#REF!</v>
      </c>
      <c r="AB101" s="5" t="e">
        <f t="shared" si="50"/>
        <v>#REF!</v>
      </c>
      <c r="AC101" s="5" t="e">
        <f t="shared" si="50"/>
        <v>#REF!</v>
      </c>
      <c r="AD101" s="5" t="e">
        <f t="shared" si="50"/>
        <v>#REF!</v>
      </c>
      <c r="AE101" s="5" t="e">
        <f t="shared" si="50"/>
        <v>#REF!</v>
      </c>
      <c r="AF101" s="5" t="e">
        <f t="shared" si="50"/>
        <v>#REF!</v>
      </c>
      <c r="AG101" s="5" t="e">
        <f t="shared" si="50"/>
        <v>#REF!</v>
      </c>
      <c r="AH101" s="5" t="e">
        <f t="shared" si="50"/>
        <v>#REF!</v>
      </c>
      <c r="AI101" s="5" t="e">
        <f t="shared" si="50"/>
        <v>#REF!</v>
      </c>
      <c r="AJ101" s="5" t="e">
        <f t="shared" si="50"/>
        <v>#REF!</v>
      </c>
      <c r="AK101" s="5" t="e">
        <f t="shared" si="50"/>
        <v>#REF!</v>
      </c>
      <c r="AL101" s="5" t="e">
        <f t="shared" si="50"/>
        <v>#REF!</v>
      </c>
      <c r="AM101" s="5" t="e">
        <f t="shared" si="50"/>
        <v>#REF!</v>
      </c>
      <c r="AN101" s="5" t="e">
        <f t="shared" si="50"/>
        <v>#REF!</v>
      </c>
      <c r="AO101" s="5" t="e">
        <f t="shared" si="50"/>
        <v>#REF!</v>
      </c>
      <c r="AP101" s="5" t="e">
        <f t="shared" si="50"/>
        <v>#REF!</v>
      </c>
      <c r="AQ101" s="5" t="e">
        <f t="shared" si="50"/>
        <v>#REF!</v>
      </c>
      <c r="AR101" s="5" t="e">
        <f t="shared" si="50"/>
        <v>#REF!</v>
      </c>
      <c r="AS101" s="5" t="e">
        <f t="shared" si="50"/>
        <v>#REF!</v>
      </c>
      <c r="AT101" s="5" t="e">
        <f t="shared" si="50"/>
        <v>#REF!</v>
      </c>
      <c r="AU101" s="5" t="e">
        <f t="shared" si="50"/>
        <v>#REF!</v>
      </c>
      <c r="AV101" s="5" t="e">
        <f t="shared" si="50"/>
        <v>#REF!</v>
      </c>
      <c r="AW101" s="5" t="e">
        <f t="shared" si="50"/>
        <v>#REF!</v>
      </c>
      <c r="AX101" s="5" t="e">
        <f t="shared" si="50"/>
        <v>#REF!</v>
      </c>
      <c r="AY101" s="5" t="e">
        <f t="shared" si="50"/>
        <v>#REF!</v>
      </c>
      <c r="AZ101" s="5" t="e">
        <f t="shared" si="50"/>
        <v>#REF!</v>
      </c>
      <c r="BA101" s="5" t="e">
        <f t="shared" si="50"/>
        <v>#REF!</v>
      </c>
      <c r="BB101" s="5" t="e">
        <f t="shared" si="50"/>
        <v>#REF!</v>
      </c>
      <c r="BC101" s="5" t="e">
        <f t="shared" si="50"/>
        <v>#REF!</v>
      </c>
      <c r="BD101" s="5" t="e">
        <f t="shared" si="50"/>
        <v>#REF!</v>
      </c>
      <c r="BE101" s="5" t="e">
        <f t="shared" si="50"/>
        <v>#REF!</v>
      </c>
      <c r="BF101" s="5" t="e">
        <f t="shared" si="50"/>
        <v>#REF!</v>
      </c>
      <c r="BG101" s="5" t="e">
        <f t="shared" si="50"/>
        <v>#REF!</v>
      </c>
      <c r="BH101" s="5" t="e">
        <f t="shared" si="50"/>
        <v>#REF!</v>
      </c>
      <c r="BI101" s="5"/>
    </row>
    <row r="102" spans="1:61" s="119" customFormat="1" hidden="1" x14ac:dyDescent="0.2">
      <c r="A102" s="119" t="s">
        <v>508</v>
      </c>
      <c r="B102" s="134"/>
      <c r="C102" s="135" t="e">
        <f xml:space="preserve"> C101 + C105</f>
        <v>#REF!</v>
      </c>
      <c r="D102" s="135" t="e">
        <f t="shared" ref="D102:BH102" si="51" xml:space="preserve"> D101 + D105</f>
        <v>#REF!</v>
      </c>
      <c r="E102" s="135" t="e">
        <f t="shared" si="51"/>
        <v>#REF!</v>
      </c>
      <c r="F102" s="135" t="e">
        <f xml:space="preserve"> F101 + F105</f>
        <v>#REF!</v>
      </c>
      <c r="G102" s="135" t="e">
        <f t="shared" si="51"/>
        <v>#REF!</v>
      </c>
      <c r="H102" s="135" t="e">
        <f t="shared" si="51"/>
        <v>#REF!</v>
      </c>
      <c r="I102" s="135" t="e">
        <f t="shared" si="51"/>
        <v>#REF!</v>
      </c>
      <c r="J102" s="135" t="e">
        <f t="shared" si="51"/>
        <v>#REF!</v>
      </c>
      <c r="K102" s="135" t="e">
        <f t="shared" si="51"/>
        <v>#REF!</v>
      </c>
      <c r="L102" s="135" t="e">
        <f t="shared" si="51"/>
        <v>#REF!</v>
      </c>
      <c r="M102" s="135" t="e">
        <f t="shared" si="51"/>
        <v>#REF!</v>
      </c>
      <c r="N102" s="135" t="e">
        <f t="shared" si="51"/>
        <v>#REF!</v>
      </c>
      <c r="O102" s="135" t="e">
        <f t="shared" si="51"/>
        <v>#REF!</v>
      </c>
      <c r="P102" s="135" t="e">
        <f t="shared" si="51"/>
        <v>#REF!</v>
      </c>
      <c r="Q102" s="135" t="e">
        <f t="shared" si="51"/>
        <v>#REF!</v>
      </c>
      <c r="R102" s="135" t="e">
        <f t="shared" si="51"/>
        <v>#REF!</v>
      </c>
      <c r="S102" s="135" t="e">
        <f t="shared" si="51"/>
        <v>#REF!</v>
      </c>
      <c r="T102" s="135" t="e">
        <f t="shared" si="51"/>
        <v>#REF!</v>
      </c>
      <c r="U102" s="135" t="e">
        <f t="shared" si="51"/>
        <v>#REF!</v>
      </c>
      <c r="V102" s="135" t="e">
        <f t="shared" si="51"/>
        <v>#REF!</v>
      </c>
      <c r="W102" s="135" t="e">
        <f t="shared" si="51"/>
        <v>#REF!</v>
      </c>
      <c r="X102" s="135" t="e">
        <f t="shared" si="51"/>
        <v>#REF!</v>
      </c>
      <c r="Y102" s="135" t="e">
        <f t="shared" si="51"/>
        <v>#REF!</v>
      </c>
      <c r="Z102" s="135" t="e">
        <f t="shared" si="51"/>
        <v>#REF!</v>
      </c>
      <c r="AA102" s="135" t="e">
        <f t="shared" si="51"/>
        <v>#REF!</v>
      </c>
      <c r="AB102" s="135" t="e">
        <f t="shared" si="51"/>
        <v>#REF!</v>
      </c>
      <c r="AC102" s="135" t="e">
        <f t="shared" si="51"/>
        <v>#REF!</v>
      </c>
      <c r="AD102" s="135" t="e">
        <f t="shared" si="51"/>
        <v>#REF!</v>
      </c>
      <c r="AE102" s="135" t="e">
        <f t="shared" si="51"/>
        <v>#REF!</v>
      </c>
      <c r="AF102" s="135" t="e">
        <f t="shared" si="51"/>
        <v>#REF!</v>
      </c>
      <c r="AG102" s="135" t="e">
        <f t="shared" si="51"/>
        <v>#REF!</v>
      </c>
      <c r="AH102" s="135" t="e">
        <f t="shared" si="51"/>
        <v>#REF!</v>
      </c>
      <c r="AI102" s="135" t="e">
        <f t="shared" si="51"/>
        <v>#REF!</v>
      </c>
      <c r="AJ102" s="135" t="e">
        <f t="shared" si="51"/>
        <v>#REF!</v>
      </c>
      <c r="AK102" s="135" t="e">
        <f t="shared" si="51"/>
        <v>#REF!</v>
      </c>
      <c r="AL102" s="135" t="e">
        <f t="shared" si="51"/>
        <v>#REF!</v>
      </c>
      <c r="AM102" s="135" t="e">
        <f t="shared" si="51"/>
        <v>#REF!</v>
      </c>
      <c r="AN102" s="135" t="e">
        <f t="shared" si="51"/>
        <v>#REF!</v>
      </c>
      <c r="AO102" s="135" t="e">
        <f t="shared" si="51"/>
        <v>#REF!</v>
      </c>
      <c r="AP102" s="135" t="e">
        <f t="shared" si="51"/>
        <v>#REF!</v>
      </c>
      <c r="AQ102" s="135" t="e">
        <f t="shared" si="51"/>
        <v>#REF!</v>
      </c>
      <c r="AR102" s="135" t="e">
        <f t="shared" si="51"/>
        <v>#REF!</v>
      </c>
      <c r="AS102" s="135" t="e">
        <f t="shared" si="51"/>
        <v>#REF!</v>
      </c>
      <c r="AT102" s="135" t="e">
        <f t="shared" si="51"/>
        <v>#REF!</v>
      </c>
      <c r="AU102" s="135" t="e">
        <f t="shared" si="51"/>
        <v>#REF!</v>
      </c>
      <c r="AV102" s="135" t="e">
        <f t="shared" si="51"/>
        <v>#REF!</v>
      </c>
      <c r="AW102" s="135" t="e">
        <f t="shared" si="51"/>
        <v>#REF!</v>
      </c>
      <c r="AX102" s="135" t="e">
        <f t="shared" si="51"/>
        <v>#REF!</v>
      </c>
      <c r="AY102" s="135" t="e">
        <f t="shared" si="51"/>
        <v>#REF!</v>
      </c>
      <c r="AZ102" s="135" t="e">
        <f t="shared" si="51"/>
        <v>#REF!</v>
      </c>
      <c r="BA102" s="135" t="e">
        <f t="shared" si="51"/>
        <v>#REF!</v>
      </c>
      <c r="BB102" s="135" t="e">
        <f t="shared" si="51"/>
        <v>#REF!</v>
      </c>
      <c r="BC102" s="135" t="e">
        <f t="shared" si="51"/>
        <v>#REF!</v>
      </c>
      <c r="BD102" s="135" t="e">
        <f t="shared" si="51"/>
        <v>#REF!</v>
      </c>
      <c r="BE102" s="135" t="e">
        <f t="shared" si="51"/>
        <v>#REF!</v>
      </c>
      <c r="BF102" s="135" t="e">
        <f t="shared" si="51"/>
        <v>#REF!</v>
      </c>
      <c r="BG102" s="135" t="e">
        <f t="shared" si="51"/>
        <v>#REF!</v>
      </c>
      <c r="BH102" s="135" t="e">
        <f t="shared" si="51"/>
        <v>#REF!</v>
      </c>
      <c r="BI102" s="135"/>
    </row>
    <row r="103" spans="1:61" s="79" customFormat="1" x14ac:dyDescent="0.2">
      <c r="B103" s="125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</row>
    <row r="104" spans="1:61" s="79" customFormat="1" x14ac:dyDescent="0.2">
      <c r="A104" s="1" t="s">
        <v>581</v>
      </c>
      <c r="B104" s="125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</row>
    <row r="105" spans="1:61" hidden="1" x14ac:dyDescent="0.2">
      <c r="A105" t="s">
        <v>451</v>
      </c>
      <c r="B105" s="31"/>
      <c r="C105" s="5" t="e">
        <f xml:space="preserve"> C54 + (C22 * 'Levellized Salt Sep Plant'!$C$46) + (C74 * 'Levellized Salt Sep Plant'!$I$46)</f>
        <v>#REF!</v>
      </c>
      <c r="D105" s="5" t="e">
        <f xml:space="preserve"> D54 + (D22 * 'Levellized Salt Sep Plant'!$C$46) + (D74 * 'Levellized Salt Sep Plant'!$I$46)</f>
        <v>#REF!</v>
      </c>
      <c r="E105" s="5" t="e">
        <f xml:space="preserve"> E54 + (E22 * 'Levellized Salt Sep Plant'!$C$46) + (E74 * 'Levellized Salt Sep Plant'!$I$46)</f>
        <v>#REF!</v>
      </c>
      <c r="F105" s="5" t="e">
        <f xml:space="preserve"> F54 + (F22 * 'Levellized Salt Sep Plant'!$C$46) + (F74 * 'Levellized Salt Sep Plant'!$I$46)</f>
        <v>#REF!</v>
      </c>
      <c r="G105" s="5" t="e">
        <f xml:space="preserve"> G54 + (G22 * 'Levellized Salt Sep Plant'!$C$46) + (G74 * 'Levellized Salt Sep Plant'!$I$46)</f>
        <v>#REF!</v>
      </c>
      <c r="H105" s="5" t="e">
        <f xml:space="preserve"> H54 + (H22 * 'Levellized Salt Sep Plant'!$C$46) + (H74 * 'Levellized Salt Sep Plant'!$I$46)</f>
        <v>#REF!</v>
      </c>
      <c r="I105" s="5" t="e">
        <f xml:space="preserve"> I54 + (I22 * 'Levellized Salt Sep Plant'!$C$46) + (I74 * 'Levellized Salt Sep Plant'!$I$46)</f>
        <v>#REF!</v>
      </c>
      <c r="J105" s="5" t="e">
        <f xml:space="preserve"> J54 + (J22 * 'Levellized Salt Sep Plant'!$C$46) + (J74 * 'Levellized Salt Sep Plant'!$I$46)</f>
        <v>#REF!</v>
      </c>
      <c r="K105" s="5" t="e">
        <f xml:space="preserve"> K54 + (K22 * 'Levellized Salt Sep Plant'!$C$46) + (K74 * 'Levellized Salt Sep Plant'!$I$46)</f>
        <v>#REF!</v>
      </c>
      <c r="L105" s="5" t="e">
        <f xml:space="preserve"> L54 + (L22 * 'Levellized Salt Sep Plant'!$C$46) + (L74 * 'Levellized Salt Sep Plant'!$I$46)</f>
        <v>#REF!</v>
      </c>
      <c r="M105" s="5" t="e">
        <f xml:space="preserve"> M54 + (M22 * 'Levellized Salt Sep Plant'!$C$46) + (M74 * 'Levellized Salt Sep Plant'!$I$46)</f>
        <v>#REF!</v>
      </c>
      <c r="N105" s="5" t="e">
        <f xml:space="preserve"> N54 + (N22 * 'Levellized Salt Sep Plant'!$C$46) + (N74 * 'Levellized Salt Sep Plant'!$I$46)</f>
        <v>#REF!</v>
      </c>
      <c r="O105" s="5" t="e">
        <f xml:space="preserve"> O54 + (O22 * 'Levellized Salt Sep Plant'!$C$46) + (O74 * 'Levellized Salt Sep Plant'!$I$46)</f>
        <v>#REF!</v>
      </c>
      <c r="P105" s="5" t="e">
        <f xml:space="preserve"> P54 + (P22 * 'Levellized Salt Sep Plant'!$C$46) + (P74 * 'Levellized Salt Sep Plant'!$I$46)</f>
        <v>#REF!</v>
      </c>
      <c r="Q105" s="5" t="e">
        <f xml:space="preserve"> Q54 + (Q22 * 'Levellized Salt Sep Plant'!$C$46) + (Q74 * 'Levellized Salt Sep Plant'!$I$46)</f>
        <v>#REF!</v>
      </c>
      <c r="R105" s="5" t="e">
        <f xml:space="preserve"> R54 + (R22 * 'Levellized Salt Sep Plant'!$C$46) + (R74 * 'Levellized Salt Sep Plant'!$I$46)</f>
        <v>#REF!</v>
      </c>
      <c r="S105" s="5" t="e">
        <f xml:space="preserve"> S54 + (S22 * 'Levellized Salt Sep Plant'!$C$46) + (S74 * 'Levellized Salt Sep Plant'!$I$46)</f>
        <v>#REF!</v>
      </c>
      <c r="T105" s="5" t="e">
        <f xml:space="preserve"> T54 + (T22 * 'Levellized Salt Sep Plant'!$C$46) + (T74 * 'Levellized Salt Sep Plant'!$I$46)</f>
        <v>#REF!</v>
      </c>
      <c r="U105" s="5" t="e">
        <f xml:space="preserve"> U54 + (U22 * 'Levellized Salt Sep Plant'!$C$46) + (U74 * 'Levellized Salt Sep Plant'!$I$46)</f>
        <v>#REF!</v>
      </c>
      <c r="V105" s="5" t="e">
        <f xml:space="preserve"> V54 + (V22 * 'Levellized Salt Sep Plant'!$C$46) + (V74 * 'Levellized Salt Sep Plant'!$I$46)</f>
        <v>#REF!</v>
      </c>
      <c r="W105" s="5" t="e">
        <f xml:space="preserve"> W54 + (W22 * 'Levellized Salt Sep Plant'!$C$46) + (W74 * 'Levellized Salt Sep Plant'!$I$46)</f>
        <v>#REF!</v>
      </c>
      <c r="X105" s="5" t="e">
        <f xml:space="preserve"> X54 + (X22 * 'Levellized Salt Sep Plant'!$C$46) + (X74 * 'Levellized Salt Sep Plant'!$I$46)</f>
        <v>#REF!</v>
      </c>
      <c r="Y105" s="5" t="e">
        <f xml:space="preserve"> Y54 + (Y22 * 'Levellized Salt Sep Plant'!$C$46) + (Y74 * 'Levellized Salt Sep Plant'!$I$46)</f>
        <v>#REF!</v>
      </c>
      <c r="Z105" s="5" t="e">
        <f xml:space="preserve"> Z54 + (Z22 * 'Levellized Salt Sep Plant'!$C$46) + (Z74 * 'Levellized Salt Sep Plant'!$I$46)</f>
        <v>#REF!</v>
      </c>
      <c r="AA105" s="5" t="e">
        <f xml:space="preserve"> AA54 + (AA22 * 'Levellized Salt Sep Plant'!$C$46) + (AA74 * 'Levellized Salt Sep Plant'!$I$46)</f>
        <v>#REF!</v>
      </c>
      <c r="AB105" s="5" t="e">
        <f xml:space="preserve"> AB54 + (AB22 * 'Levellized Salt Sep Plant'!$C$46) + (AB74 * 'Levellized Salt Sep Plant'!$I$46)</f>
        <v>#REF!</v>
      </c>
      <c r="AC105" s="5" t="e">
        <f xml:space="preserve"> AC54 + (AC22 * 'Levellized Salt Sep Plant'!$C$46) + (AC74 * 'Levellized Salt Sep Plant'!$I$46)</f>
        <v>#REF!</v>
      </c>
      <c r="AD105" s="5" t="e">
        <f xml:space="preserve"> AD54 + (AD22 * 'Levellized Salt Sep Plant'!$C$46) + (AD74 * 'Levellized Salt Sep Plant'!$I$46)</f>
        <v>#REF!</v>
      </c>
      <c r="AE105" s="5" t="e">
        <f xml:space="preserve"> AE54 + (AE22 * 'Levellized Salt Sep Plant'!$C$46) + (AE74 * 'Levellized Salt Sep Plant'!$I$46)</f>
        <v>#REF!</v>
      </c>
      <c r="AF105" s="5" t="e">
        <f xml:space="preserve"> AF54 + (AF22 * 'Levellized Salt Sep Plant'!$C$46) + (AF74 * 'Levellized Salt Sep Plant'!$I$46)</f>
        <v>#REF!</v>
      </c>
      <c r="AG105" s="5" t="e">
        <f xml:space="preserve"> AG54 + (AG22 * 'Levellized Salt Sep Plant'!$C$46) + (AG74 * 'Levellized Salt Sep Plant'!$I$46)</f>
        <v>#REF!</v>
      </c>
      <c r="AH105" s="5" t="e">
        <f xml:space="preserve"> AH54 + (AH22 * 'Levellized Salt Sep Plant'!$C$46) + (AH74 * 'Levellized Salt Sep Plant'!$I$46)</f>
        <v>#REF!</v>
      </c>
      <c r="AI105" s="5" t="e">
        <f xml:space="preserve"> AI54 + (AI22 * 'Levellized Salt Sep Plant'!$C$46) + (AI74 * 'Levellized Salt Sep Plant'!$I$46)</f>
        <v>#REF!</v>
      </c>
      <c r="AJ105" s="5" t="e">
        <f xml:space="preserve"> AJ54 + (AJ22 * 'Levellized Salt Sep Plant'!$C$46) + (AJ74 * 'Levellized Salt Sep Plant'!$I$46)</f>
        <v>#REF!</v>
      </c>
      <c r="AK105" s="5" t="e">
        <f xml:space="preserve"> AK54 + (AK22 * 'Levellized Salt Sep Plant'!$C$46) + (AK74 * 'Levellized Salt Sep Plant'!$I$46)</f>
        <v>#REF!</v>
      </c>
      <c r="AL105" s="5" t="e">
        <f xml:space="preserve"> AL54 + (AL22 * 'Levellized Salt Sep Plant'!$C$46) + (AL74 * 'Levellized Salt Sep Plant'!$I$46)</f>
        <v>#REF!</v>
      </c>
      <c r="AM105" s="5" t="e">
        <f xml:space="preserve"> AM54 + (AM22 * 'Levellized Salt Sep Plant'!$C$46) + (AM74 * 'Levellized Salt Sep Plant'!$I$46)</f>
        <v>#REF!</v>
      </c>
      <c r="AN105" s="5" t="e">
        <f xml:space="preserve"> AN54 + (AN22 * 'Levellized Salt Sep Plant'!$C$46) + (AN74 * 'Levellized Salt Sep Plant'!$I$46)</f>
        <v>#REF!</v>
      </c>
      <c r="AO105" s="5" t="e">
        <f xml:space="preserve"> AO54 + (AO22 * 'Levellized Salt Sep Plant'!$C$46) + (AO74 * 'Levellized Salt Sep Plant'!$I$46)</f>
        <v>#REF!</v>
      </c>
      <c r="AP105" s="5" t="e">
        <f xml:space="preserve"> AP54 + (AP22 * 'Levellized Salt Sep Plant'!$C$46) + (AP74 * 'Levellized Salt Sep Plant'!$I$46)</f>
        <v>#REF!</v>
      </c>
      <c r="AQ105" s="5" t="e">
        <f xml:space="preserve"> AQ54 + (AQ22 * 'Levellized Salt Sep Plant'!$C$46) + (AQ74 * 'Levellized Salt Sep Plant'!$I$46)</f>
        <v>#REF!</v>
      </c>
      <c r="AR105" s="5" t="e">
        <f xml:space="preserve"> AR54 + (AR22 * 'Levellized Salt Sep Plant'!$C$46) + (AR74 * 'Levellized Salt Sep Plant'!$I$46)</f>
        <v>#REF!</v>
      </c>
      <c r="AS105" s="5" t="e">
        <f xml:space="preserve"> AS54 + (AS22 * 'Levellized Salt Sep Plant'!$C$46) + (AS74 * 'Levellized Salt Sep Plant'!$I$46)</f>
        <v>#REF!</v>
      </c>
      <c r="AT105" s="5" t="e">
        <f xml:space="preserve"> AT54 + (AT22 * 'Levellized Salt Sep Plant'!$C$46) + (AT74 * 'Levellized Salt Sep Plant'!$I$46)</f>
        <v>#REF!</v>
      </c>
      <c r="AU105" s="5" t="e">
        <f xml:space="preserve"> AU54 + (AU22 * 'Levellized Salt Sep Plant'!$C$46) + (AU74 * 'Levellized Salt Sep Plant'!$I$46)</f>
        <v>#REF!</v>
      </c>
      <c r="AV105" s="5" t="e">
        <f xml:space="preserve"> AV54 + (AV22 * 'Levellized Salt Sep Plant'!$C$46) + (AV74 * 'Levellized Salt Sep Plant'!$I$46)</f>
        <v>#REF!</v>
      </c>
      <c r="AW105" s="5" t="e">
        <f xml:space="preserve"> AW54 + (AW22 * 'Levellized Salt Sep Plant'!$C$46) + (AW74 * 'Levellized Salt Sep Plant'!$I$46)</f>
        <v>#REF!</v>
      </c>
      <c r="AX105" s="5" t="e">
        <f xml:space="preserve"> AX54 + (AX22 * 'Levellized Salt Sep Plant'!$C$46) + (AX74 * 'Levellized Salt Sep Plant'!$I$46)</f>
        <v>#REF!</v>
      </c>
      <c r="AY105" s="5" t="e">
        <f xml:space="preserve"> AY54 + (AY22 * 'Levellized Salt Sep Plant'!$C$46) + (AY74 * 'Levellized Salt Sep Plant'!$I$46)</f>
        <v>#REF!</v>
      </c>
      <c r="AZ105" s="5" t="e">
        <f xml:space="preserve"> AZ54 + (AZ22 * 'Levellized Salt Sep Plant'!$C$46) + (AZ74 * 'Levellized Salt Sep Plant'!$I$46)</f>
        <v>#REF!</v>
      </c>
      <c r="BA105" s="5" t="e">
        <f xml:space="preserve"> BA54 + (BA22 * 'Levellized Salt Sep Plant'!$C$46) + (BA74 * 'Levellized Salt Sep Plant'!$I$46)</f>
        <v>#REF!</v>
      </c>
      <c r="BB105" s="5" t="e">
        <f xml:space="preserve"> BB54 + (BB22 * 'Levellized Salt Sep Plant'!$C$46) + (BB74 * 'Levellized Salt Sep Plant'!$I$46)</f>
        <v>#REF!</v>
      </c>
      <c r="BC105" s="5" t="e">
        <f xml:space="preserve"> BC54 + (BC22 * 'Levellized Salt Sep Plant'!$C$46) + (BC74 * 'Levellized Salt Sep Plant'!$I$46)</f>
        <v>#REF!</v>
      </c>
      <c r="BD105" s="5" t="e">
        <f xml:space="preserve"> BD54 + (BD22 * 'Levellized Salt Sep Plant'!$C$46) + (BD74 * 'Levellized Salt Sep Plant'!$I$46)</f>
        <v>#REF!</v>
      </c>
      <c r="BE105" s="5" t="e">
        <f xml:space="preserve"> BE54 + (BE22 * 'Levellized Salt Sep Plant'!$C$46) + (BE74 * 'Levellized Salt Sep Plant'!$I$46)</f>
        <v>#REF!</v>
      </c>
      <c r="BF105" s="5" t="e">
        <f xml:space="preserve"> BF54 + (BF22 * 'Levellized Salt Sep Plant'!$C$46) + (BF74 * 'Levellized Salt Sep Plant'!$I$46)</f>
        <v>#REF!</v>
      </c>
      <c r="BG105" s="5" t="e">
        <f xml:space="preserve"> BG54 + (BG22 * 'Levellized Salt Sep Plant'!$C$46) + (BG74 * 'Levellized Salt Sep Plant'!$I$46)</f>
        <v>#REF!</v>
      </c>
      <c r="BH105" s="5" t="e">
        <f xml:space="preserve"> BH54 + (BH22 * 'Levellized Salt Sep Plant'!$C$46) + (BH74 * 'Levellized Salt Sep Plant'!$I$46)</f>
        <v>#REF!</v>
      </c>
      <c r="BI105" s="5"/>
    </row>
    <row r="106" spans="1:61" hidden="1" x14ac:dyDescent="0.2">
      <c r="A106" t="s">
        <v>455</v>
      </c>
      <c r="B106" s="31"/>
      <c r="C106" s="8" t="e">
        <f xml:space="preserve"> C105 / (60833.3/10*640)</f>
        <v>#REF!</v>
      </c>
      <c r="D106" s="8" t="e">
        <f t="shared" ref="D106:BH106" si="52" xml:space="preserve"> D105 / (60833.3/10*640)</f>
        <v>#REF!</v>
      </c>
      <c r="E106" s="8" t="e">
        <f t="shared" si="52"/>
        <v>#REF!</v>
      </c>
      <c r="F106" s="8" t="e">
        <f t="shared" si="52"/>
        <v>#REF!</v>
      </c>
      <c r="G106" s="8" t="e">
        <f t="shared" si="52"/>
        <v>#REF!</v>
      </c>
      <c r="H106" s="8" t="e">
        <f t="shared" si="52"/>
        <v>#REF!</v>
      </c>
      <c r="I106" s="8" t="e">
        <f t="shared" si="52"/>
        <v>#REF!</v>
      </c>
      <c r="J106" s="8" t="e">
        <f t="shared" si="52"/>
        <v>#REF!</v>
      </c>
      <c r="K106" s="8" t="e">
        <f t="shared" si="52"/>
        <v>#REF!</v>
      </c>
      <c r="L106" s="8" t="e">
        <f t="shared" si="52"/>
        <v>#REF!</v>
      </c>
      <c r="M106" s="8" t="e">
        <f t="shared" si="52"/>
        <v>#REF!</v>
      </c>
      <c r="N106" s="8" t="e">
        <f t="shared" si="52"/>
        <v>#REF!</v>
      </c>
      <c r="O106" s="8" t="e">
        <f t="shared" si="52"/>
        <v>#REF!</v>
      </c>
      <c r="P106" s="8" t="e">
        <f t="shared" si="52"/>
        <v>#REF!</v>
      </c>
      <c r="Q106" s="8" t="e">
        <f t="shared" si="52"/>
        <v>#REF!</v>
      </c>
      <c r="R106" s="8" t="e">
        <f t="shared" si="52"/>
        <v>#REF!</v>
      </c>
      <c r="S106" s="8" t="e">
        <f t="shared" si="52"/>
        <v>#REF!</v>
      </c>
      <c r="T106" s="8" t="e">
        <f t="shared" si="52"/>
        <v>#REF!</v>
      </c>
      <c r="U106" s="8" t="e">
        <f t="shared" si="52"/>
        <v>#REF!</v>
      </c>
      <c r="V106" s="8" t="e">
        <f t="shared" si="52"/>
        <v>#REF!</v>
      </c>
      <c r="W106" s="8" t="e">
        <f t="shared" si="52"/>
        <v>#REF!</v>
      </c>
      <c r="X106" s="8" t="e">
        <f t="shared" si="52"/>
        <v>#REF!</v>
      </c>
      <c r="Y106" s="8" t="e">
        <f t="shared" si="52"/>
        <v>#REF!</v>
      </c>
      <c r="Z106" s="8" t="e">
        <f t="shared" si="52"/>
        <v>#REF!</v>
      </c>
      <c r="AA106" s="8" t="e">
        <f t="shared" si="52"/>
        <v>#REF!</v>
      </c>
      <c r="AB106" s="8" t="e">
        <f t="shared" si="52"/>
        <v>#REF!</v>
      </c>
      <c r="AC106" s="8" t="e">
        <f t="shared" si="52"/>
        <v>#REF!</v>
      </c>
      <c r="AD106" s="8" t="e">
        <f t="shared" si="52"/>
        <v>#REF!</v>
      </c>
      <c r="AE106" s="8" t="e">
        <f t="shared" si="52"/>
        <v>#REF!</v>
      </c>
      <c r="AF106" s="8" t="e">
        <f t="shared" si="52"/>
        <v>#REF!</v>
      </c>
      <c r="AG106" s="8" t="e">
        <f t="shared" si="52"/>
        <v>#REF!</v>
      </c>
      <c r="AH106" s="8" t="e">
        <f t="shared" si="52"/>
        <v>#REF!</v>
      </c>
      <c r="AI106" s="8" t="e">
        <f t="shared" si="52"/>
        <v>#REF!</v>
      </c>
      <c r="AJ106" s="8" t="e">
        <f t="shared" si="52"/>
        <v>#REF!</v>
      </c>
      <c r="AK106" s="8" t="e">
        <f t="shared" si="52"/>
        <v>#REF!</v>
      </c>
      <c r="AL106" s="8" t="e">
        <f t="shared" si="52"/>
        <v>#REF!</v>
      </c>
      <c r="AM106" s="8" t="e">
        <f t="shared" si="52"/>
        <v>#REF!</v>
      </c>
      <c r="AN106" s="8" t="e">
        <f t="shared" si="52"/>
        <v>#REF!</v>
      </c>
      <c r="AO106" s="8" t="e">
        <f t="shared" si="52"/>
        <v>#REF!</v>
      </c>
      <c r="AP106" s="8" t="e">
        <f t="shared" si="52"/>
        <v>#REF!</v>
      </c>
      <c r="AQ106" s="8" t="e">
        <f t="shared" si="52"/>
        <v>#REF!</v>
      </c>
      <c r="AR106" s="8" t="e">
        <f t="shared" si="52"/>
        <v>#REF!</v>
      </c>
      <c r="AS106" s="8" t="e">
        <f t="shared" si="52"/>
        <v>#REF!</v>
      </c>
      <c r="AT106" s="8" t="e">
        <f t="shared" si="52"/>
        <v>#REF!</v>
      </c>
      <c r="AU106" s="8" t="e">
        <f t="shared" si="52"/>
        <v>#REF!</v>
      </c>
      <c r="AV106" s="8" t="e">
        <f t="shared" si="52"/>
        <v>#REF!</v>
      </c>
      <c r="AW106" s="8" t="e">
        <f t="shared" si="52"/>
        <v>#REF!</v>
      </c>
      <c r="AX106" s="8" t="e">
        <f t="shared" si="52"/>
        <v>#REF!</v>
      </c>
      <c r="AY106" s="8" t="e">
        <f t="shared" si="52"/>
        <v>#REF!</v>
      </c>
      <c r="AZ106" s="8" t="e">
        <f t="shared" si="52"/>
        <v>#REF!</v>
      </c>
      <c r="BA106" s="8" t="e">
        <f t="shared" si="52"/>
        <v>#REF!</v>
      </c>
      <c r="BB106" s="8" t="e">
        <f t="shared" si="52"/>
        <v>#REF!</v>
      </c>
      <c r="BC106" s="8" t="e">
        <f t="shared" si="52"/>
        <v>#REF!</v>
      </c>
      <c r="BD106" s="8" t="e">
        <f t="shared" si="52"/>
        <v>#REF!</v>
      </c>
      <c r="BE106" s="8" t="e">
        <f t="shared" si="52"/>
        <v>#REF!</v>
      </c>
      <c r="BF106" s="8" t="e">
        <f t="shared" si="52"/>
        <v>#REF!</v>
      </c>
      <c r="BG106" s="8" t="e">
        <f t="shared" si="52"/>
        <v>#REF!</v>
      </c>
      <c r="BH106" s="8" t="e">
        <f t="shared" si="52"/>
        <v>#REF!</v>
      </c>
      <c r="BI106" s="8"/>
    </row>
    <row r="107" spans="1:61" hidden="1" x14ac:dyDescent="0.2">
      <c r="A107" t="s">
        <v>456</v>
      </c>
      <c r="B107" s="31"/>
      <c r="C107" s="8" t="e">
        <f xml:space="preserve"> C106</f>
        <v>#REF!</v>
      </c>
      <c r="D107" s="8" t="e">
        <f xml:space="preserve"> SUM($C106:D106)</f>
        <v>#REF!</v>
      </c>
      <c r="E107" s="8" t="e">
        <f xml:space="preserve"> SUM($C106:E106)</f>
        <v>#REF!</v>
      </c>
      <c r="F107" s="8" t="e">
        <f xml:space="preserve"> SUM($C106:F106)</f>
        <v>#REF!</v>
      </c>
      <c r="G107" s="8" t="e">
        <f xml:space="preserve"> SUM($C106:G106)</f>
        <v>#REF!</v>
      </c>
      <c r="H107" s="8" t="e">
        <f xml:space="preserve"> SUM($C106:H106)</f>
        <v>#REF!</v>
      </c>
      <c r="I107" s="8" t="e">
        <f xml:space="preserve"> SUM($C106:I106)</f>
        <v>#REF!</v>
      </c>
      <c r="J107" s="8" t="e">
        <f xml:space="preserve"> SUM($C106:J106)</f>
        <v>#REF!</v>
      </c>
      <c r="K107" s="8" t="e">
        <f xml:space="preserve"> SUM($C106:K106)</f>
        <v>#REF!</v>
      </c>
      <c r="L107" s="8" t="e">
        <f xml:space="preserve"> SUM($C106:L106)</f>
        <v>#REF!</v>
      </c>
      <c r="M107" s="8" t="e">
        <f xml:space="preserve"> SUM($C106:M106)</f>
        <v>#REF!</v>
      </c>
      <c r="N107" s="8" t="e">
        <f xml:space="preserve"> SUM($C106:N106)</f>
        <v>#REF!</v>
      </c>
      <c r="O107" s="8" t="e">
        <f xml:space="preserve"> SUM($C106:O106)</f>
        <v>#REF!</v>
      </c>
      <c r="P107" s="8" t="e">
        <f xml:space="preserve"> SUM($C106:P106)</f>
        <v>#REF!</v>
      </c>
      <c r="Q107" s="8" t="e">
        <f xml:space="preserve"> SUM($C106:Q106)</f>
        <v>#REF!</v>
      </c>
      <c r="R107" s="8" t="e">
        <f xml:space="preserve"> SUM($C106:R106)</f>
        <v>#REF!</v>
      </c>
      <c r="S107" s="8" t="e">
        <f xml:space="preserve"> SUM($C106:S106)</f>
        <v>#REF!</v>
      </c>
      <c r="T107" s="8" t="e">
        <f xml:space="preserve"> SUM($C106:T106)</f>
        <v>#REF!</v>
      </c>
      <c r="U107" s="8" t="e">
        <f xml:space="preserve"> SUM($C106:U106)</f>
        <v>#REF!</v>
      </c>
      <c r="V107" s="8" t="e">
        <f xml:space="preserve"> SUM($C106:V106)</f>
        <v>#REF!</v>
      </c>
      <c r="W107" s="8" t="e">
        <f xml:space="preserve"> SUM($C106:W106)</f>
        <v>#REF!</v>
      </c>
      <c r="X107" s="8" t="e">
        <f xml:space="preserve"> SUM($C106:X106)</f>
        <v>#REF!</v>
      </c>
      <c r="Y107" s="8" t="e">
        <f xml:space="preserve"> SUM($C106:Y106)</f>
        <v>#REF!</v>
      </c>
      <c r="Z107" s="8" t="e">
        <f xml:space="preserve"> SUM($C106:Z106)</f>
        <v>#REF!</v>
      </c>
      <c r="AA107" s="8" t="e">
        <f xml:space="preserve"> SUM($C106:AA106)</f>
        <v>#REF!</v>
      </c>
      <c r="AB107" s="8" t="e">
        <f xml:space="preserve"> SUM($C106:AB106)</f>
        <v>#REF!</v>
      </c>
      <c r="AC107" s="8" t="e">
        <f xml:space="preserve"> SUM($C106:AC106)</f>
        <v>#REF!</v>
      </c>
      <c r="AD107" s="8" t="e">
        <f xml:space="preserve"> SUM($C106:AD106)</f>
        <v>#REF!</v>
      </c>
      <c r="AE107" s="8" t="e">
        <f xml:space="preserve"> SUM($C106:AE106)</f>
        <v>#REF!</v>
      </c>
      <c r="AF107" s="8" t="e">
        <f xml:space="preserve"> SUM($C106:AF106)</f>
        <v>#REF!</v>
      </c>
      <c r="AG107" s="8" t="e">
        <f xml:space="preserve"> SUM($C106:AG106)</f>
        <v>#REF!</v>
      </c>
      <c r="AH107" s="8" t="e">
        <f xml:space="preserve"> SUM($C106:AH106)</f>
        <v>#REF!</v>
      </c>
      <c r="AI107" s="8" t="e">
        <f xml:space="preserve"> SUM($C106:AI106)</f>
        <v>#REF!</v>
      </c>
      <c r="AJ107" s="8" t="e">
        <f xml:space="preserve"> SUM($C106:AJ106)</f>
        <v>#REF!</v>
      </c>
      <c r="AK107" s="8" t="e">
        <f xml:space="preserve"> SUM($C106:AK106)</f>
        <v>#REF!</v>
      </c>
      <c r="AL107" s="8" t="e">
        <f xml:space="preserve"> SUM($C106:AL106)</f>
        <v>#REF!</v>
      </c>
      <c r="AM107" s="8" t="e">
        <f xml:space="preserve"> SUM($C106:AM106)</f>
        <v>#REF!</v>
      </c>
      <c r="AN107" s="8" t="e">
        <f xml:space="preserve"> SUM($C106:AN106)</f>
        <v>#REF!</v>
      </c>
      <c r="AO107" s="8" t="e">
        <f xml:space="preserve"> SUM($C106:AO106)</f>
        <v>#REF!</v>
      </c>
      <c r="AP107" s="8" t="e">
        <f xml:space="preserve"> SUM($C106:AP106)</f>
        <v>#REF!</v>
      </c>
      <c r="AQ107" s="8" t="e">
        <f xml:space="preserve"> SUM($C106:AQ106)</f>
        <v>#REF!</v>
      </c>
      <c r="AR107" s="8" t="e">
        <f xml:space="preserve"> SUM($C106:AR106)</f>
        <v>#REF!</v>
      </c>
      <c r="AS107" s="8" t="e">
        <f xml:space="preserve"> SUM($C106:AS106)</f>
        <v>#REF!</v>
      </c>
      <c r="AT107" s="8" t="e">
        <f xml:space="preserve"> SUM($C106:AT106)</f>
        <v>#REF!</v>
      </c>
      <c r="AU107" s="8" t="e">
        <f xml:space="preserve"> SUM($C106:AU106)</f>
        <v>#REF!</v>
      </c>
      <c r="AV107" s="8" t="e">
        <f xml:space="preserve"> SUM($C106:AV106)</f>
        <v>#REF!</v>
      </c>
      <c r="AW107" s="8" t="e">
        <f xml:space="preserve"> SUM($C106:AW106)</f>
        <v>#REF!</v>
      </c>
      <c r="AX107" s="8" t="e">
        <f xml:space="preserve"> SUM($C106:AX106)</f>
        <v>#REF!</v>
      </c>
      <c r="AY107" s="8" t="e">
        <f xml:space="preserve"> SUM($C106:AY106)</f>
        <v>#REF!</v>
      </c>
      <c r="AZ107" s="8" t="e">
        <f xml:space="preserve"> SUM($C106:AZ106)</f>
        <v>#REF!</v>
      </c>
      <c r="BA107" s="8" t="e">
        <f xml:space="preserve"> SUM($C106:BA106)</f>
        <v>#REF!</v>
      </c>
      <c r="BB107" s="8" t="e">
        <f xml:space="preserve"> SUM($C106:BB106)</f>
        <v>#REF!</v>
      </c>
      <c r="BC107" s="8" t="e">
        <f xml:space="preserve"> SUM($C106:BC106)</f>
        <v>#REF!</v>
      </c>
      <c r="BD107" s="8" t="e">
        <f xml:space="preserve"> SUM($C106:BD106)</f>
        <v>#REF!</v>
      </c>
      <c r="BE107" s="8" t="e">
        <f xml:space="preserve"> SUM($C106:BE106)</f>
        <v>#REF!</v>
      </c>
      <c r="BF107" s="8" t="e">
        <f xml:space="preserve"> SUM($C106:BF106)</f>
        <v>#REF!</v>
      </c>
      <c r="BG107" s="8" t="e">
        <f xml:space="preserve"> SUM($C106:BG106)</f>
        <v>#REF!</v>
      </c>
      <c r="BH107" s="8" t="e">
        <f xml:space="preserve"> SUM($C106:BH106)</f>
        <v>#REF!</v>
      </c>
      <c r="BI107" s="8"/>
    </row>
    <row r="108" spans="1:61" x14ac:dyDescent="0.2">
      <c r="A108" t="s">
        <v>439</v>
      </c>
      <c r="B108" s="31"/>
      <c r="C108" s="98" t="e">
        <f t="shared" ref="C108:AL108" si="53" xml:space="preserve"> D109</f>
        <v>#REF!</v>
      </c>
      <c r="D108" s="98" t="e">
        <f t="shared" si="53"/>
        <v>#REF!</v>
      </c>
      <c r="E108" s="98" t="e">
        <f t="shared" si="53"/>
        <v>#REF!</v>
      </c>
      <c r="F108" s="98" t="e">
        <f t="shared" si="53"/>
        <v>#REF!</v>
      </c>
      <c r="G108" s="98" t="e">
        <f t="shared" si="53"/>
        <v>#REF!</v>
      </c>
      <c r="H108" s="98" t="e">
        <f t="shared" si="53"/>
        <v>#REF!</v>
      </c>
      <c r="I108" s="98" t="e">
        <f t="shared" si="53"/>
        <v>#REF!</v>
      </c>
      <c r="J108" s="98" t="e">
        <f t="shared" si="53"/>
        <v>#REF!</v>
      </c>
      <c r="K108" s="98" t="e">
        <f t="shared" si="53"/>
        <v>#REF!</v>
      </c>
      <c r="L108" s="98" t="e">
        <f t="shared" si="53"/>
        <v>#REF!</v>
      </c>
      <c r="M108" s="98" t="e">
        <f t="shared" si="53"/>
        <v>#REF!</v>
      </c>
      <c r="N108" s="98" t="e">
        <f t="shared" si="53"/>
        <v>#REF!</v>
      </c>
      <c r="O108" s="98" t="e">
        <f t="shared" si="53"/>
        <v>#REF!</v>
      </c>
      <c r="P108" s="98" t="e">
        <f t="shared" si="53"/>
        <v>#REF!</v>
      </c>
      <c r="Q108" s="98" t="e">
        <f t="shared" si="53"/>
        <v>#REF!</v>
      </c>
      <c r="R108" s="98" t="e">
        <f t="shared" si="53"/>
        <v>#REF!</v>
      </c>
      <c r="S108" s="98" t="e">
        <f t="shared" si="53"/>
        <v>#REF!</v>
      </c>
      <c r="T108" s="98" t="e">
        <f t="shared" si="53"/>
        <v>#REF!</v>
      </c>
      <c r="U108" s="98" t="e">
        <f t="shared" si="53"/>
        <v>#REF!</v>
      </c>
      <c r="V108" s="98" t="e">
        <f t="shared" si="53"/>
        <v>#REF!</v>
      </c>
      <c r="W108" s="98" t="e">
        <f t="shared" si="53"/>
        <v>#REF!</v>
      </c>
      <c r="X108" s="98" t="e">
        <f t="shared" si="53"/>
        <v>#REF!</v>
      </c>
      <c r="Y108" s="98" t="e">
        <f t="shared" si="53"/>
        <v>#REF!</v>
      </c>
      <c r="Z108" s="98" t="e">
        <f t="shared" si="53"/>
        <v>#REF!</v>
      </c>
      <c r="AA108" s="98" t="e">
        <f t="shared" si="53"/>
        <v>#REF!</v>
      </c>
      <c r="AB108" s="98" t="e">
        <f t="shared" si="53"/>
        <v>#REF!</v>
      </c>
      <c r="AC108" s="98" t="e">
        <f t="shared" si="53"/>
        <v>#REF!</v>
      </c>
      <c r="AD108" s="98" t="e">
        <f t="shared" si="53"/>
        <v>#REF!</v>
      </c>
      <c r="AE108" s="98" t="e">
        <f t="shared" si="53"/>
        <v>#REF!</v>
      </c>
      <c r="AF108" s="98" t="e">
        <f t="shared" si="53"/>
        <v>#REF!</v>
      </c>
      <c r="AG108" s="98" t="e">
        <f t="shared" si="53"/>
        <v>#REF!</v>
      </c>
      <c r="AH108" s="98" t="e">
        <f t="shared" si="53"/>
        <v>#REF!</v>
      </c>
      <c r="AI108" s="98" t="e">
        <f t="shared" si="53"/>
        <v>#REF!</v>
      </c>
      <c r="AJ108" s="98" t="e">
        <f t="shared" si="53"/>
        <v>#REF!</v>
      </c>
      <c r="AK108" s="98" t="e">
        <f t="shared" si="53"/>
        <v>#REF!</v>
      </c>
      <c r="AL108" s="98" t="e">
        <f t="shared" si="53"/>
        <v>#REF!</v>
      </c>
      <c r="AM108" s="98">
        <f t="shared" ref="AM108:BH108" si="54" xml:space="preserve"> BI109</f>
        <v>0</v>
      </c>
      <c r="AN108" s="98">
        <f t="shared" si="54"/>
        <v>0</v>
      </c>
      <c r="AO108" s="98">
        <f t="shared" si="54"/>
        <v>0</v>
      </c>
      <c r="AP108" s="98">
        <f t="shared" si="54"/>
        <v>0</v>
      </c>
      <c r="AQ108" s="98">
        <f t="shared" si="54"/>
        <v>0</v>
      </c>
      <c r="AR108" s="98">
        <f t="shared" si="54"/>
        <v>0</v>
      </c>
      <c r="AS108" s="98">
        <f t="shared" si="54"/>
        <v>0</v>
      </c>
      <c r="AT108" s="98">
        <f t="shared" si="54"/>
        <v>0</v>
      </c>
      <c r="AU108" s="98">
        <f t="shared" si="54"/>
        <v>0</v>
      </c>
      <c r="AV108" s="98">
        <f t="shared" si="54"/>
        <v>0</v>
      </c>
      <c r="AW108" s="98">
        <f t="shared" si="54"/>
        <v>0</v>
      </c>
      <c r="AX108" s="98">
        <f t="shared" si="54"/>
        <v>0</v>
      </c>
      <c r="AY108" s="98">
        <f t="shared" si="54"/>
        <v>0</v>
      </c>
      <c r="AZ108" s="98">
        <f t="shared" si="54"/>
        <v>0</v>
      </c>
      <c r="BA108" s="98">
        <f t="shared" si="54"/>
        <v>0</v>
      </c>
      <c r="BB108" s="98">
        <f t="shared" si="54"/>
        <v>0</v>
      </c>
      <c r="BC108" s="98">
        <f t="shared" si="54"/>
        <v>0</v>
      </c>
      <c r="BD108" s="98">
        <f t="shared" si="54"/>
        <v>0</v>
      </c>
      <c r="BE108" s="98">
        <f t="shared" si="54"/>
        <v>0</v>
      </c>
      <c r="BF108" s="98">
        <f t="shared" si="54"/>
        <v>0</v>
      </c>
      <c r="BG108" s="98">
        <f t="shared" si="54"/>
        <v>0</v>
      </c>
      <c r="BH108" s="98">
        <f t="shared" si="54"/>
        <v>0</v>
      </c>
    </row>
    <row r="109" spans="1:61" x14ac:dyDescent="0.2">
      <c r="A109" t="s">
        <v>470</v>
      </c>
      <c r="B109" s="31"/>
      <c r="C109" s="8" t="e">
        <f xml:space="preserve">  C106</f>
        <v>#REF!</v>
      </c>
      <c r="D109" s="8" t="e">
        <f t="shared" ref="D109:BH109" si="55" xml:space="preserve">  D106</f>
        <v>#REF!</v>
      </c>
      <c r="E109" s="8" t="e">
        <f t="shared" si="55"/>
        <v>#REF!</v>
      </c>
      <c r="F109" s="8" t="e">
        <f t="shared" si="55"/>
        <v>#REF!</v>
      </c>
      <c r="G109" s="8" t="e">
        <f t="shared" si="55"/>
        <v>#REF!</v>
      </c>
      <c r="H109" s="8" t="e">
        <f t="shared" si="55"/>
        <v>#REF!</v>
      </c>
      <c r="I109" s="8" t="e">
        <f t="shared" si="55"/>
        <v>#REF!</v>
      </c>
      <c r="J109" s="8" t="e">
        <f t="shared" si="55"/>
        <v>#REF!</v>
      </c>
      <c r="K109" s="8" t="e">
        <f t="shared" si="55"/>
        <v>#REF!</v>
      </c>
      <c r="L109" s="8" t="e">
        <f t="shared" si="55"/>
        <v>#REF!</v>
      </c>
      <c r="M109" s="8" t="e">
        <f t="shared" si="55"/>
        <v>#REF!</v>
      </c>
      <c r="N109" s="8" t="e">
        <f t="shared" si="55"/>
        <v>#REF!</v>
      </c>
      <c r="O109" s="8" t="e">
        <f t="shared" si="55"/>
        <v>#REF!</v>
      </c>
      <c r="P109" s="8" t="e">
        <f t="shared" si="55"/>
        <v>#REF!</v>
      </c>
      <c r="Q109" s="8" t="e">
        <f t="shared" si="55"/>
        <v>#REF!</v>
      </c>
      <c r="R109" s="8" t="e">
        <f t="shared" si="55"/>
        <v>#REF!</v>
      </c>
      <c r="S109" s="8" t="e">
        <f t="shared" si="55"/>
        <v>#REF!</v>
      </c>
      <c r="T109" s="8" t="e">
        <f t="shared" si="55"/>
        <v>#REF!</v>
      </c>
      <c r="U109" s="8" t="e">
        <f t="shared" si="55"/>
        <v>#REF!</v>
      </c>
      <c r="V109" s="8" t="e">
        <f t="shared" si="55"/>
        <v>#REF!</v>
      </c>
      <c r="W109" s="8" t="e">
        <f t="shared" si="55"/>
        <v>#REF!</v>
      </c>
      <c r="X109" s="8" t="e">
        <f t="shared" si="55"/>
        <v>#REF!</v>
      </c>
      <c r="Y109" s="8" t="e">
        <f t="shared" si="55"/>
        <v>#REF!</v>
      </c>
      <c r="Z109" s="8" t="e">
        <f t="shared" si="55"/>
        <v>#REF!</v>
      </c>
      <c r="AA109" s="8" t="e">
        <f t="shared" si="55"/>
        <v>#REF!</v>
      </c>
      <c r="AB109" s="8" t="e">
        <f t="shared" si="55"/>
        <v>#REF!</v>
      </c>
      <c r="AC109" s="8" t="e">
        <f t="shared" si="55"/>
        <v>#REF!</v>
      </c>
      <c r="AD109" s="8" t="e">
        <f t="shared" si="55"/>
        <v>#REF!</v>
      </c>
      <c r="AE109" s="8" t="e">
        <f t="shared" si="55"/>
        <v>#REF!</v>
      </c>
      <c r="AF109" s="8" t="e">
        <f t="shared" si="55"/>
        <v>#REF!</v>
      </c>
      <c r="AG109" s="8" t="e">
        <f t="shared" si="55"/>
        <v>#REF!</v>
      </c>
      <c r="AH109" s="8" t="e">
        <f t="shared" si="55"/>
        <v>#REF!</v>
      </c>
      <c r="AI109" s="8" t="e">
        <f t="shared" si="55"/>
        <v>#REF!</v>
      </c>
      <c r="AJ109" s="8" t="e">
        <f t="shared" si="55"/>
        <v>#REF!</v>
      </c>
      <c r="AK109" s="8" t="e">
        <f t="shared" si="55"/>
        <v>#REF!</v>
      </c>
      <c r="AL109" s="8" t="e">
        <f t="shared" si="55"/>
        <v>#REF!</v>
      </c>
      <c r="AM109" s="8" t="e">
        <f t="shared" si="55"/>
        <v>#REF!</v>
      </c>
      <c r="AN109" s="8" t="e">
        <f t="shared" si="55"/>
        <v>#REF!</v>
      </c>
      <c r="AO109" s="8" t="e">
        <f t="shared" si="55"/>
        <v>#REF!</v>
      </c>
      <c r="AP109" s="8" t="e">
        <f t="shared" si="55"/>
        <v>#REF!</v>
      </c>
      <c r="AQ109" s="8" t="e">
        <f t="shared" si="55"/>
        <v>#REF!</v>
      </c>
      <c r="AR109" s="8" t="e">
        <f t="shared" si="55"/>
        <v>#REF!</v>
      </c>
      <c r="AS109" s="8" t="e">
        <f t="shared" si="55"/>
        <v>#REF!</v>
      </c>
      <c r="AT109" s="8" t="e">
        <f t="shared" si="55"/>
        <v>#REF!</v>
      </c>
      <c r="AU109" s="8" t="e">
        <f t="shared" si="55"/>
        <v>#REF!</v>
      </c>
      <c r="AV109" s="8" t="e">
        <f t="shared" si="55"/>
        <v>#REF!</v>
      </c>
      <c r="AW109" s="8" t="e">
        <f t="shared" si="55"/>
        <v>#REF!</v>
      </c>
      <c r="AX109" s="8" t="e">
        <f t="shared" si="55"/>
        <v>#REF!</v>
      </c>
      <c r="AY109" s="8" t="e">
        <f t="shared" si="55"/>
        <v>#REF!</v>
      </c>
      <c r="AZ109" s="8" t="e">
        <f t="shared" si="55"/>
        <v>#REF!</v>
      </c>
      <c r="BA109" s="8" t="e">
        <f t="shared" si="55"/>
        <v>#REF!</v>
      </c>
      <c r="BB109" s="8" t="e">
        <f t="shared" si="55"/>
        <v>#REF!</v>
      </c>
      <c r="BC109" s="8" t="e">
        <f t="shared" si="55"/>
        <v>#REF!</v>
      </c>
      <c r="BD109" s="8" t="e">
        <f t="shared" si="55"/>
        <v>#REF!</v>
      </c>
      <c r="BE109" s="8" t="e">
        <f t="shared" si="55"/>
        <v>#REF!</v>
      </c>
      <c r="BF109" s="8" t="e">
        <f t="shared" si="55"/>
        <v>#REF!</v>
      </c>
      <c r="BG109" s="8" t="e">
        <f t="shared" si="55"/>
        <v>#REF!</v>
      </c>
      <c r="BH109" s="8" t="e">
        <f t="shared" si="55"/>
        <v>#REF!</v>
      </c>
    </row>
    <row r="110" spans="1:61" x14ac:dyDescent="0.2">
      <c r="A110" t="s">
        <v>440</v>
      </c>
      <c r="B110" s="31"/>
      <c r="C110">
        <v>0</v>
      </c>
      <c r="D110" s="8" t="e">
        <f xml:space="preserve"> SUM($C109:C109)</f>
        <v>#REF!</v>
      </c>
      <c r="E110" s="8" t="e">
        <f xml:space="preserve"> SUM($C109:D109)</f>
        <v>#REF!</v>
      </c>
      <c r="F110" s="8" t="e">
        <f xml:space="preserve"> SUM($C109:E109)</f>
        <v>#REF!</v>
      </c>
      <c r="G110" s="8" t="e">
        <f xml:space="preserve"> SUM($C109:F109)</f>
        <v>#REF!</v>
      </c>
      <c r="H110" s="8" t="e">
        <f xml:space="preserve"> SUM($C109:G109)</f>
        <v>#REF!</v>
      </c>
      <c r="I110" s="8" t="e">
        <f xml:space="preserve"> SUM($C109:H109)</f>
        <v>#REF!</v>
      </c>
      <c r="J110" s="8" t="e">
        <f xml:space="preserve"> SUM($C109:I109)</f>
        <v>#REF!</v>
      </c>
      <c r="K110" s="8" t="e">
        <f xml:space="preserve"> SUM($C109:J109)</f>
        <v>#REF!</v>
      </c>
      <c r="L110" s="8" t="e">
        <f xml:space="preserve"> SUM($C109:K109)</f>
        <v>#REF!</v>
      </c>
      <c r="M110" s="8" t="e">
        <f xml:space="preserve"> SUM($C109:L109)</f>
        <v>#REF!</v>
      </c>
      <c r="N110" s="8" t="e">
        <f xml:space="preserve"> SUM($C109:M109)</f>
        <v>#REF!</v>
      </c>
      <c r="O110" s="8" t="e">
        <f xml:space="preserve"> SUM($C109:N109)</f>
        <v>#REF!</v>
      </c>
      <c r="P110" s="8" t="e">
        <f xml:space="preserve"> SUM($C109:O109)</f>
        <v>#REF!</v>
      </c>
      <c r="Q110" s="8" t="e">
        <f xml:space="preserve"> SUM($C109:P109)</f>
        <v>#REF!</v>
      </c>
      <c r="R110" s="8" t="e">
        <f xml:space="preserve"> SUM($C109:Q109)</f>
        <v>#REF!</v>
      </c>
      <c r="S110" s="8" t="e">
        <f xml:space="preserve"> SUM($C109:R109)</f>
        <v>#REF!</v>
      </c>
      <c r="T110" s="8" t="e">
        <f xml:space="preserve"> SUM($C109:S109)</f>
        <v>#REF!</v>
      </c>
      <c r="U110" s="8" t="e">
        <f xml:space="preserve"> SUM($C109:T109)</f>
        <v>#REF!</v>
      </c>
      <c r="V110" s="8" t="e">
        <f xml:space="preserve"> SUM($C109:U109)</f>
        <v>#REF!</v>
      </c>
      <c r="W110" s="8" t="e">
        <f xml:space="preserve"> SUM($C109:V109)</f>
        <v>#REF!</v>
      </c>
      <c r="X110" s="8" t="e">
        <f xml:space="preserve"> SUM($C109:W109)</f>
        <v>#REF!</v>
      </c>
      <c r="Y110" s="8" t="e">
        <f xml:space="preserve"> SUM($C109:X109)</f>
        <v>#REF!</v>
      </c>
      <c r="Z110" s="8" t="e">
        <f xml:space="preserve"> SUM($C109:Y109)</f>
        <v>#REF!</v>
      </c>
      <c r="AA110" s="8" t="e">
        <f xml:space="preserve"> SUM($C109:Z109)</f>
        <v>#REF!</v>
      </c>
      <c r="AB110" s="8" t="e">
        <f xml:space="preserve"> SUM($C109:AA109)</f>
        <v>#REF!</v>
      </c>
      <c r="AC110" s="8" t="e">
        <f xml:space="preserve"> SUM($C109:AB109)</f>
        <v>#REF!</v>
      </c>
      <c r="AD110" s="8" t="e">
        <f xml:space="preserve"> SUM($C109:AC109)</f>
        <v>#REF!</v>
      </c>
      <c r="AE110" s="8" t="e">
        <f xml:space="preserve"> SUM($C109:AD109)</f>
        <v>#REF!</v>
      </c>
      <c r="AF110" s="8" t="e">
        <f xml:space="preserve"> SUM($C109:AE109)</f>
        <v>#REF!</v>
      </c>
      <c r="AG110" s="8" t="e">
        <f xml:space="preserve"> SUM($C109:AF109)</f>
        <v>#REF!</v>
      </c>
      <c r="AH110" s="8" t="e">
        <f xml:space="preserve"> SUM($C109:AG109)</f>
        <v>#REF!</v>
      </c>
      <c r="AI110" s="8" t="e">
        <f xml:space="preserve"> SUM($C109:AH109)</f>
        <v>#REF!</v>
      </c>
      <c r="AJ110" s="8" t="e">
        <f xml:space="preserve"> SUM($C109:AI109)</f>
        <v>#REF!</v>
      </c>
      <c r="AK110" s="8" t="e">
        <f xml:space="preserve"> SUM($C109:AJ109)</f>
        <v>#REF!</v>
      </c>
      <c r="AL110" s="8" t="e">
        <f xml:space="preserve"> SUM($C109:AK109)</f>
        <v>#REF!</v>
      </c>
      <c r="AM110" s="8" t="e">
        <f xml:space="preserve"> SUM($C109:AL109)</f>
        <v>#REF!</v>
      </c>
      <c r="AN110" s="8" t="e">
        <f xml:space="preserve"> SUM($C109:AM109)</f>
        <v>#REF!</v>
      </c>
      <c r="AO110" s="8" t="e">
        <f xml:space="preserve"> SUM($C109:AN109)</f>
        <v>#REF!</v>
      </c>
      <c r="AP110" s="8" t="e">
        <f xml:space="preserve"> SUM($C109:AO109)</f>
        <v>#REF!</v>
      </c>
      <c r="AQ110" s="8" t="e">
        <f xml:space="preserve"> SUM($C109:AP109)</f>
        <v>#REF!</v>
      </c>
      <c r="AR110" s="8" t="e">
        <f xml:space="preserve"> SUM($C109:AQ109)</f>
        <v>#REF!</v>
      </c>
      <c r="AS110" s="8" t="e">
        <f xml:space="preserve"> SUM($C109:AR109)</f>
        <v>#REF!</v>
      </c>
      <c r="AT110" s="8" t="e">
        <f xml:space="preserve"> SUM($C109:AS109)</f>
        <v>#REF!</v>
      </c>
      <c r="AU110" s="8" t="e">
        <f xml:space="preserve"> SUM($C109:AT109)</f>
        <v>#REF!</v>
      </c>
      <c r="AV110" s="8" t="e">
        <f xml:space="preserve"> SUM($C109:AU109)</f>
        <v>#REF!</v>
      </c>
      <c r="AW110" s="8" t="e">
        <f xml:space="preserve"> SUM($C109:AV109)</f>
        <v>#REF!</v>
      </c>
      <c r="AX110" s="8" t="e">
        <f xml:space="preserve"> SUM($C109:AW109)</f>
        <v>#REF!</v>
      </c>
      <c r="AY110" s="8" t="e">
        <f xml:space="preserve"> SUM($C109:AX109)</f>
        <v>#REF!</v>
      </c>
      <c r="AZ110" s="8" t="e">
        <f xml:space="preserve"> SUM($C109:AY109)</f>
        <v>#REF!</v>
      </c>
      <c r="BA110" s="8" t="e">
        <f xml:space="preserve"> SUM($C109:AZ109)</f>
        <v>#REF!</v>
      </c>
      <c r="BB110" s="8" t="e">
        <f xml:space="preserve"> SUM($C109:BA109)</f>
        <v>#REF!</v>
      </c>
      <c r="BC110" s="8" t="e">
        <f xml:space="preserve"> SUM($C109:BB109)</f>
        <v>#REF!</v>
      </c>
      <c r="BD110" s="8" t="e">
        <f xml:space="preserve"> SUM($C109:BC109)</f>
        <v>#REF!</v>
      </c>
      <c r="BE110" s="8" t="e">
        <f xml:space="preserve"> SUM($C109:BD109)</f>
        <v>#REF!</v>
      </c>
      <c r="BF110" s="8" t="e">
        <f xml:space="preserve"> SUM($C109:BE109)</f>
        <v>#REF!</v>
      </c>
      <c r="BG110" s="8" t="e">
        <f xml:space="preserve"> SUM($C109:BF109)</f>
        <v>#REF!</v>
      </c>
      <c r="BH110" s="8" t="e">
        <f xml:space="preserve"> SUM($C109:BG109)</f>
        <v>#REF!</v>
      </c>
      <c r="BI110" s="8"/>
    </row>
    <row r="111" spans="1:61" s="74" customFormat="1" hidden="1" x14ac:dyDescent="0.2">
      <c r="A111" s="74" t="s">
        <v>441</v>
      </c>
      <c r="B111" s="121"/>
      <c r="C111" s="75" t="e">
        <f>C109*#REF!</f>
        <v>#REF!</v>
      </c>
      <c r="D111" s="75" t="e">
        <f>D109*#REF!</f>
        <v>#REF!</v>
      </c>
      <c r="E111" s="75" t="e">
        <f>E109*#REF!</f>
        <v>#REF!</v>
      </c>
      <c r="F111" s="75" t="e">
        <f>F109*#REF!</f>
        <v>#REF!</v>
      </c>
      <c r="G111" s="75" t="e">
        <f>G109*#REF!</f>
        <v>#REF!</v>
      </c>
      <c r="H111" s="75" t="e">
        <f>H109*#REF!</f>
        <v>#REF!</v>
      </c>
      <c r="I111" s="75" t="e">
        <f>I109*#REF!</f>
        <v>#REF!</v>
      </c>
      <c r="J111" s="75" t="e">
        <f>J109*#REF!</f>
        <v>#REF!</v>
      </c>
      <c r="K111" s="75" t="e">
        <f>K109*#REF!</f>
        <v>#REF!</v>
      </c>
      <c r="L111" s="75" t="e">
        <f>L109*#REF!</f>
        <v>#REF!</v>
      </c>
      <c r="M111" s="75" t="e">
        <f>M109*#REF!</f>
        <v>#REF!</v>
      </c>
      <c r="N111" s="75" t="e">
        <f>N109*#REF!</f>
        <v>#REF!</v>
      </c>
      <c r="O111" s="75" t="e">
        <f>O109*#REF!</f>
        <v>#REF!</v>
      </c>
      <c r="P111" s="75" t="e">
        <f>P109*#REF!</f>
        <v>#REF!</v>
      </c>
      <c r="Q111" s="75" t="e">
        <f>Q109*#REF!</f>
        <v>#REF!</v>
      </c>
      <c r="R111" s="75" t="e">
        <f>R109*#REF!</f>
        <v>#REF!</v>
      </c>
      <c r="S111" s="75" t="e">
        <f>S109*#REF!</f>
        <v>#REF!</v>
      </c>
      <c r="T111" s="75" t="e">
        <f>T109*#REF!</f>
        <v>#REF!</v>
      </c>
      <c r="U111" s="75" t="e">
        <f>U109*#REF!</f>
        <v>#REF!</v>
      </c>
      <c r="V111" s="75" t="e">
        <f>V109*#REF!</f>
        <v>#REF!</v>
      </c>
      <c r="W111" s="75" t="e">
        <f>W109*#REF!</f>
        <v>#REF!</v>
      </c>
      <c r="X111" s="75" t="e">
        <f>X109*#REF!</f>
        <v>#REF!</v>
      </c>
      <c r="Y111" s="75" t="e">
        <f>Y109*#REF!</f>
        <v>#REF!</v>
      </c>
      <c r="Z111" s="75" t="e">
        <f>Z109*#REF!</f>
        <v>#REF!</v>
      </c>
      <c r="AA111" s="75" t="e">
        <f>AA109*#REF!</f>
        <v>#REF!</v>
      </c>
      <c r="AB111" s="75" t="e">
        <f>AB109*#REF!</f>
        <v>#REF!</v>
      </c>
      <c r="AC111" s="75" t="e">
        <f>AC109*#REF!</f>
        <v>#REF!</v>
      </c>
      <c r="AD111" s="75" t="e">
        <f>AD109*#REF!</f>
        <v>#REF!</v>
      </c>
      <c r="AE111" s="75" t="e">
        <f>AE109*#REF!</f>
        <v>#REF!</v>
      </c>
      <c r="AF111" s="75" t="e">
        <f>AF109*#REF!</f>
        <v>#REF!</v>
      </c>
      <c r="AG111" s="75" t="e">
        <f>AG109*#REF!</f>
        <v>#REF!</v>
      </c>
      <c r="AH111" s="75" t="e">
        <f>AH109*#REF!</f>
        <v>#REF!</v>
      </c>
      <c r="AI111" s="75" t="e">
        <f>AI109*#REF!</f>
        <v>#REF!</v>
      </c>
      <c r="AJ111" s="75" t="e">
        <f>AJ109*#REF!</f>
        <v>#REF!</v>
      </c>
      <c r="AK111" s="75" t="e">
        <f>AK109*#REF!</f>
        <v>#REF!</v>
      </c>
      <c r="AL111" s="75" t="e">
        <f>AL109*#REF!</f>
        <v>#REF!</v>
      </c>
      <c r="AM111" s="75" t="e">
        <f>AM109*#REF!</f>
        <v>#REF!</v>
      </c>
      <c r="AN111" s="75" t="e">
        <f>AN109*#REF!</f>
        <v>#REF!</v>
      </c>
      <c r="AO111" s="75" t="e">
        <f>AO109*#REF!</f>
        <v>#REF!</v>
      </c>
      <c r="AP111" s="75" t="e">
        <f>AP109*#REF!</f>
        <v>#REF!</v>
      </c>
      <c r="AQ111" s="75" t="e">
        <f>AQ109*#REF!</f>
        <v>#REF!</v>
      </c>
      <c r="AR111" s="75" t="e">
        <f>AR109*#REF!</f>
        <v>#REF!</v>
      </c>
      <c r="AS111" s="75" t="e">
        <f>AS109*#REF!</f>
        <v>#REF!</v>
      </c>
      <c r="AT111" s="75" t="e">
        <f>AT109*#REF!</f>
        <v>#REF!</v>
      </c>
      <c r="AU111" s="75" t="e">
        <f>AU109*#REF!</f>
        <v>#REF!</v>
      </c>
      <c r="AV111" s="75" t="e">
        <f>AV109*#REF!</f>
        <v>#REF!</v>
      </c>
      <c r="AW111" s="75" t="e">
        <f>AW109*#REF!</f>
        <v>#REF!</v>
      </c>
      <c r="AX111" s="75" t="e">
        <f>AX109*#REF!</f>
        <v>#REF!</v>
      </c>
      <c r="AY111" s="75" t="e">
        <f>AY109*#REF!</f>
        <v>#REF!</v>
      </c>
      <c r="AZ111" s="75" t="e">
        <f>AZ109*#REF!</f>
        <v>#REF!</v>
      </c>
      <c r="BA111" s="75" t="e">
        <f>BA109*#REF!</f>
        <v>#REF!</v>
      </c>
      <c r="BB111" s="75" t="e">
        <f>BB109*#REF!</f>
        <v>#REF!</v>
      </c>
      <c r="BC111" s="75" t="e">
        <f>BC109*#REF!</f>
        <v>#REF!</v>
      </c>
      <c r="BD111" s="75" t="e">
        <f>BD109*#REF!</f>
        <v>#REF!</v>
      </c>
      <c r="BE111" s="75" t="e">
        <f>BE109*#REF!</f>
        <v>#REF!</v>
      </c>
      <c r="BF111" s="75" t="e">
        <f>BF109*#REF!</f>
        <v>#REF!</v>
      </c>
      <c r="BG111" s="75" t="e">
        <f>BG109*#REF!</f>
        <v>#REF!</v>
      </c>
      <c r="BH111" s="75" t="e">
        <f>BH109*#REF!</f>
        <v>#REF!</v>
      </c>
      <c r="BI111" s="75"/>
    </row>
    <row r="112" spans="1:61" s="74" customFormat="1" hidden="1" x14ac:dyDescent="0.2">
      <c r="A112" s="74" t="s">
        <v>442</v>
      </c>
      <c r="B112" s="121"/>
      <c r="C112" s="75" t="e">
        <f>C110*#REF!</f>
        <v>#REF!</v>
      </c>
      <c r="D112" s="75" t="e">
        <f>D110*#REF!</f>
        <v>#REF!</v>
      </c>
      <c r="E112" s="75" t="e">
        <f>E110*#REF!</f>
        <v>#REF!</v>
      </c>
      <c r="F112" s="75" t="e">
        <f>F110*#REF!</f>
        <v>#REF!</v>
      </c>
      <c r="G112" s="75" t="e">
        <f>G110*#REF!</f>
        <v>#REF!</v>
      </c>
      <c r="H112" s="75" t="e">
        <f>H110*#REF!</f>
        <v>#REF!</v>
      </c>
      <c r="I112" s="75" t="e">
        <f>I110*#REF!</f>
        <v>#REF!</v>
      </c>
      <c r="J112" s="75" t="e">
        <f>J110*#REF!</f>
        <v>#REF!</v>
      </c>
      <c r="K112" s="75" t="e">
        <f>K110*#REF!</f>
        <v>#REF!</v>
      </c>
      <c r="L112" s="75" t="e">
        <f>L110*#REF!</f>
        <v>#REF!</v>
      </c>
      <c r="M112" s="75" t="e">
        <f>M110*#REF!</f>
        <v>#REF!</v>
      </c>
      <c r="N112" s="75" t="e">
        <f>N110*#REF!</f>
        <v>#REF!</v>
      </c>
      <c r="O112" s="75" t="e">
        <f>O110*#REF!</f>
        <v>#REF!</v>
      </c>
      <c r="P112" s="75" t="e">
        <f>P110*#REF!</f>
        <v>#REF!</v>
      </c>
      <c r="Q112" s="75" t="e">
        <f>Q110*#REF!</f>
        <v>#REF!</v>
      </c>
      <c r="R112" s="75" t="e">
        <f>R110*#REF!</f>
        <v>#REF!</v>
      </c>
      <c r="S112" s="75" t="e">
        <f>S110*#REF!</f>
        <v>#REF!</v>
      </c>
      <c r="T112" s="75" t="e">
        <f>T110*#REF!</f>
        <v>#REF!</v>
      </c>
      <c r="U112" s="75" t="e">
        <f>U110*#REF!</f>
        <v>#REF!</v>
      </c>
      <c r="V112" s="75" t="e">
        <f>V110*#REF!</f>
        <v>#REF!</v>
      </c>
      <c r="W112" s="75" t="e">
        <f>W110*#REF!</f>
        <v>#REF!</v>
      </c>
      <c r="X112" s="75" t="e">
        <f>X110*#REF!</f>
        <v>#REF!</v>
      </c>
      <c r="Y112" s="75" t="e">
        <f>Y110*#REF!</f>
        <v>#REF!</v>
      </c>
      <c r="Z112" s="75" t="e">
        <f>Z110*#REF!</f>
        <v>#REF!</v>
      </c>
      <c r="AA112" s="75" t="e">
        <f>AA110*#REF!</f>
        <v>#REF!</v>
      </c>
      <c r="AB112" s="75" t="e">
        <f>AB110*#REF!</f>
        <v>#REF!</v>
      </c>
      <c r="AC112" s="75" t="e">
        <f>AC110*#REF!</f>
        <v>#REF!</v>
      </c>
      <c r="AD112" s="75" t="e">
        <f>AD110*#REF!</f>
        <v>#REF!</v>
      </c>
      <c r="AE112" s="75" t="e">
        <f>AE110*#REF!</f>
        <v>#REF!</v>
      </c>
      <c r="AF112" s="75" t="e">
        <f>AF110*#REF!</f>
        <v>#REF!</v>
      </c>
      <c r="AG112" s="75" t="e">
        <f>AG110*#REF!</f>
        <v>#REF!</v>
      </c>
      <c r="AH112" s="75" t="e">
        <f>AH110*#REF!</f>
        <v>#REF!</v>
      </c>
      <c r="AI112" s="75" t="e">
        <f>AI110*#REF!</f>
        <v>#REF!</v>
      </c>
      <c r="AJ112" s="75" t="e">
        <f>AJ110*#REF!</f>
        <v>#REF!</v>
      </c>
      <c r="AK112" s="75" t="e">
        <f>AK110*#REF!</f>
        <v>#REF!</v>
      </c>
      <c r="AL112" s="75" t="e">
        <f>AL110*#REF!</f>
        <v>#REF!</v>
      </c>
      <c r="AM112" s="75" t="e">
        <f>AM110*#REF!</f>
        <v>#REF!</v>
      </c>
      <c r="AN112" s="75" t="e">
        <f>AN110*#REF!</f>
        <v>#REF!</v>
      </c>
      <c r="AO112" s="75" t="e">
        <f>AO110*#REF!</f>
        <v>#REF!</v>
      </c>
      <c r="AP112" s="75" t="e">
        <f>AP110*#REF!</f>
        <v>#REF!</v>
      </c>
      <c r="AQ112" s="75" t="e">
        <f>AQ110*#REF!</f>
        <v>#REF!</v>
      </c>
      <c r="AR112" s="75" t="e">
        <f>AR110*#REF!</f>
        <v>#REF!</v>
      </c>
      <c r="AS112" s="75" t="e">
        <f>AS110*#REF!</f>
        <v>#REF!</v>
      </c>
      <c r="AT112" s="75" t="e">
        <f>AT110*#REF!</f>
        <v>#REF!</v>
      </c>
      <c r="AU112" s="75" t="e">
        <f>AU110*#REF!</f>
        <v>#REF!</v>
      </c>
      <c r="AV112" s="75" t="e">
        <f>AV110*#REF!</f>
        <v>#REF!</v>
      </c>
      <c r="AW112" s="75" t="e">
        <f>AW110*#REF!</f>
        <v>#REF!</v>
      </c>
      <c r="AX112" s="75" t="e">
        <f>AX110*#REF!</f>
        <v>#REF!</v>
      </c>
      <c r="AY112" s="75" t="e">
        <f>AY110*#REF!</f>
        <v>#REF!</v>
      </c>
      <c r="AZ112" s="75" t="e">
        <f>AZ110*#REF!</f>
        <v>#REF!</v>
      </c>
      <c r="BA112" s="75" t="e">
        <f>BA110*#REF!</f>
        <v>#REF!</v>
      </c>
      <c r="BB112" s="75" t="e">
        <f>BB110*#REF!</f>
        <v>#REF!</v>
      </c>
      <c r="BC112" s="75" t="e">
        <f>BC110*#REF!</f>
        <v>#REF!</v>
      </c>
      <c r="BD112" s="75" t="e">
        <f>BD110*#REF!</f>
        <v>#REF!</v>
      </c>
      <c r="BE112" s="75" t="e">
        <f>BE110*#REF!</f>
        <v>#REF!</v>
      </c>
      <c r="BF112" s="75" t="e">
        <f>BF110*#REF!</f>
        <v>#REF!</v>
      </c>
      <c r="BG112" s="75" t="e">
        <f>BG110*#REF!</f>
        <v>#REF!</v>
      </c>
      <c r="BH112" s="75" t="e">
        <f>BH110*#REF!</f>
        <v>#REF!</v>
      </c>
      <c r="BI112" s="75"/>
    </row>
    <row r="113" spans="1:61" x14ac:dyDescent="0.2">
      <c r="A113" t="s">
        <v>443</v>
      </c>
      <c r="B113" s="31"/>
      <c r="C113" s="5" t="e">
        <f>C110*#REF!</f>
        <v>#REF!</v>
      </c>
      <c r="D113" s="5" t="e">
        <f>D110*#REF!</f>
        <v>#REF!</v>
      </c>
      <c r="E113" s="5" t="e">
        <f>E110*#REF!</f>
        <v>#REF!</v>
      </c>
      <c r="F113" s="5" t="e">
        <f>F110*#REF!</f>
        <v>#REF!</v>
      </c>
      <c r="G113" s="5" t="e">
        <f>G110*#REF!</f>
        <v>#REF!</v>
      </c>
      <c r="H113" s="5" t="e">
        <f>H110*#REF!</f>
        <v>#REF!</v>
      </c>
      <c r="I113" s="5" t="e">
        <f>I110*#REF!</f>
        <v>#REF!</v>
      </c>
      <c r="J113" s="5" t="e">
        <f>J110*#REF!</f>
        <v>#REF!</v>
      </c>
      <c r="K113" s="5" t="e">
        <f>K110*#REF!</f>
        <v>#REF!</v>
      </c>
      <c r="L113" s="5" t="e">
        <f>L110*#REF!</f>
        <v>#REF!</v>
      </c>
      <c r="M113" s="5" t="e">
        <f>M110*#REF!</f>
        <v>#REF!</v>
      </c>
      <c r="N113" s="5" t="e">
        <f>N110*#REF!</f>
        <v>#REF!</v>
      </c>
      <c r="O113" s="5" t="e">
        <f>O110*#REF!</f>
        <v>#REF!</v>
      </c>
      <c r="P113" s="5" t="e">
        <f>P110*#REF!</f>
        <v>#REF!</v>
      </c>
      <c r="Q113" s="5" t="e">
        <f>Q110*#REF!</f>
        <v>#REF!</v>
      </c>
      <c r="R113" s="5" t="e">
        <f>R110*#REF!</f>
        <v>#REF!</v>
      </c>
      <c r="S113" s="5" t="e">
        <f>S110*#REF!</f>
        <v>#REF!</v>
      </c>
      <c r="T113" s="5" t="e">
        <f>T110*#REF!</f>
        <v>#REF!</v>
      </c>
      <c r="U113" s="5" t="e">
        <f>U110*#REF!</f>
        <v>#REF!</v>
      </c>
      <c r="V113" s="5" t="e">
        <f>V110*#REF!</f>
        <v>#REF!</v>
      </c>
      <c r="W113" s="5" t="e">
        <f>W110*#REF!</f>
        <v>#REF!</v>
      </c>
      <c r="X113" s="5" t="e">
        <f>X110*#REF!</f>
        <v>#REF!</v>
      </c>
      <c r="Y113" s="5" t="e">
        <f>Y110*#REF!</f>
        <v>#REF!</v>
      </c>
      <c r="Z113" s="5" t="e">
        <f>Z110*#REF!</f>
        <v>#REF!</v>
      </c>
      <c r="AA113" s="5" t="e">
        <f>AA110*#REF!</f>
        <v>#REF!</v>
      </c>
      <c r="AB113" s="5" t="e">
        <f>AB110*#REF!</f>
        <v>#REF!</v>
      </c>
      <c r="AC113" s="5" t="e">
        <f>AC110*#REF!</f>
        <v>#REF!</v>
      </c>
      <c r="AD113" s="5" t="e">
        <f>AD110*#REF!</f>
        <v>#REF!</v>
      </c>
      <c r="AE113" s="5" t="e">
        <f>AE110*#REF!</f>
        <v>#REF!</v>
      </c>
      <c r="AF113" s="5" t="e">
        <f>AF110*#REF!</f>
        <v>#REF!</v>
      </c>
      <c r="AG113" s="5" t="e">
        <f>AG110*#REF!</f>
        <v>#REF!</v>
      </c>
      <c r="AH113" s="5" t="e">
        <f>AH110*#REF!</f>
        <v>#REF!</v>
      </c>
      <c r="AI113" s="5" t="e">
        <f>AI110*#REF!</f>
        <v>#REF!</v>
      </c>
      <c r="AJ113" s="5" t="e">
        <f>AJ110*#REF!</f>
        <v>#REF!</v>
      </c>
      <c r="AK113" s="5" t="e">
        <f>AK110*#REF!</f>
        <v>#REF!</v>
      </c>
      <c r="AL113" s="5" t="e">
        <f>AL110*#REF!</f>
        <v>#REF!</v>
      </c>
      <c r="AM113" s="5" t="e">
        <f>AM110*#REF!</f>
        <v>#REF!</v>
      </c>
      <c r="AN113" s="5" t="e">
        <f>AN110*#REF!</f>
        <v>#REF!</v>
      </c>
      <c r="AO113" s="5" t="e">
        <f>AO110*#REF!</f>
        <v>#REF!</v>
      </c>
      <c r="AP113" s="5" t="e">
        <f>AP110*#REF!</f>
        <v>#REF!</v>
      </c>
      <c r="AQ113" s="5" t="e">
        <f>AQ110*#REF!</f>
        <v>#REF!</v>
      </c>
      <c r="AR113" s="5" t="e">
        <f>AR110*#REF!</f>
        <v>#REF!</v>
      </c>
      <c r="AS113" s="5" t="e">
        <f>AS110*#REF!</f>
        <v>#REF!</v>
      </c>
      <c r="AT113" s="5" t="e">
        <f>AT110*#REF!</f>
        <v>#REF!</v>
      </c>
      <c r="AU113" s="5" t="e">
        <f>AU110*#REF!</f>
        <v>#REF!</v>
      </c>
      <c r="AV113" s="5" t="e">
        <f>AV110*#REF!</f>
        <v>#REF!</v>
      </c>
      <c r="AW113" s="5" t="e">
        <f>AW110*#REF!</f>
        <v>#REF!</v>
      </c>
      <c r="AX113" s="5" t="e">
        <f>AX110*#REF!</f>
        <v>#REF!</v>
      </c>
      <c r="AY113" s="5" t="e">
        <f>AY110*#REF!</f>
        <v>#REF!</v>
      </c>
      <c r="AZ113" s="5" t="e">
        <f>AZ110*#REF!</f>
        <v>#REF!</v>
      </c>
      <c r="BA113" s="5" t="e">
        <f>BA110*#REF!</f>
        <v>#REF!</v>
      </c>
      <c r="BB113" s="5" t="e">
        <f>BB110*#REF!</f>
        <v>#REF!</v>
      </c>
      <c r="BC113" s="5" t="e">
        <f>BC110*#REF!</f>
        <v>#REF!</v>
      </c>
      <c r="BD113" s="5" t="e">
        <f>BD110*#REF!</f>
        <v>#REF!</v>
      </c>
      <c r="BE113" s="5" t="e">
        <f>BE110*#REF!</f>
        <v>#REF!</v>
      </c>
      <c r="BF113" s="5" t="e">
        <f>BF110*#REF!</f>
        <v>#REF!</v>
      </c>
      <c r="BG113" s="5" t="e">
        <f>BG110*#REF!</f>
        <v>#REF!</v>
      </c>
      <c r="BH113" s="5" t="e">
        <f>BH110*#REF!</f>
        <v>#REF!</v>
      </c>
      <c r="BI113" s="5"/>
    </row>
    <row r="114" spans="1:61" x14ac:dyDescent="0.2">
      <c r="A114" t="s">
        <v>473</v>
      </c>
      <c r="B114" s="31"/>
      <c r="C114" s="5" t="e">
        <f>C110*#REF!</f>
        <v>#REF!</v>
      </c>
      <c r="D114" s="5" t="e">
        <f>D110*#REF!</f>
        <v>#REF!</v>
      </c>
      <c r="E114" s="5" t="e">
        <f>E110*#REF!</f>
        <v>#REF!</v>
      </c>
      <c r="F114" s="5" t="e">
        <f>F110*#REF!</f>
        <v>#REF!</v>
      </c>
      <c r="G114" s="5" t="e">
        <f>G110*#REF!</f>
        <v>#REF!</v>
      </c>
      <c r="H114" s="5" t="e">
        <f>H110*#REF!</f>
        <v>#REF!</v>
      </c>
      <c r="I114" s="5" t="e">
        <f>I110*#REF!</f>
        <v>#REF!</v>
      </c>
      <c r="J114" s="5" t="e">
        <f>J110*#REF!</f>
        <v>#REF!</v>
      </c>
      <c r="K114" s="5" t="e">
        <f>K110*#REF!</f>
        <v>#REF!</v>
      </c>
      <c r="L114" s="5" t="e">
        <f>L110*#REF!</f>
        <v>#REF!</v>
      </c>
      <c r="M114" s="5" t="e">
        <f>M110*#REF!</f>
        <v>#REF!</v>
      </c>
      <c r="N114" s="5" t="e">
        <f>N110*#REF!</f>
        <v>#REF!</v>
      </c>
      <c r="O114" s="5" t="e">
        <f>O110*#REF!</f>
        <v>#REF!</v>
      </c>
      <c r="P114" s="5" t="e">
        <f>P110*#REF!</f>
        <v>#REF!</v>
      </c>
      <c r="Q114" s="5" t="e">
        <f>Q110*#REF!</f>
        <v>#REF!</v>
      </c>
      <c r="R114" s="5" t="e">
        <f>R110*#REF!</f>
        <v>#REF!</v>
      </c>
      <c r="S114" s="5" t="e">
        <f>S110*#REF!</f>
        <v>#REF!</v>
      </c>
      <c r="T114" s="5" t="e">
        <f>T110*#REF!</f>
        <v>#REF!</v>
      </c>
      <c r="U114" s="5" t="e">
        <f>U110*#REF!</f>
        <v>#REF!</v>
      </c>
      <c r="V114" s="5" t="e">
        <f>V110*#REF!</f>
        <v>#REF!</v>
      </c>
      <c r="W114" s="5" t="e">
        <f>W110*#REF!</f>
        <v>#REF!</v>
      </c>
      <c r="X114" s="5" t="e">
        <f>X110*#REF!</f>
        <v>#REF!</v>
      </c>
      <c r="Y114" s="5" t="e">
        <f>Y110*#REF!</f>
        <v>#REF!</v>
      </c>
      <c r="Z114" s="5" t="e">
        <f>Z110*#REF!</f>
        <v>#REF!</v>
      </c>
      <c r="AA114" s="5" t="e">
        <f>AA110*#REF!</f>
        <v>#REF!</v>
      </c>
      <c r="AB114" s="5" t="e">
        <f>AB110*#REF!</f>
        <v>#REF!</v>
      </c>
      <c r="AC114" s="5" t="e">
        <f>AC110*#REF!</f>
        <v>#REF!</v>
      </c>
      <c r="AD114" s="5" t="e">
        <f>AD110*#REF!</f>
        <v>#REF!</v>
      </c>
      <c r="AE114" s="5" t="e">
        <f>AE110*#REF!</f>
        <v>#REF!</v>
      </c>
      <c r="AF114" s="5" t="e">
        <f>AF110*#REF!</f>
        <v>#REF!</v>
      </c>
      <c r="AG114" s="5" t="e">
        <f>AG110*#REF!</f>
        <v>#REF!</v>
      </c>
      <c r="AH114" s="5" t="e">
        <f>AH110*#REF!</f>
        <v>#REF!</v>
      </c>
      <c r="AI114" s="5" t="e">
        <f>AI110*#REF!</f>
        <v>#REF!</v>
      </c>
      <c r="AJ114" s="5" t="e">
        <f>AJ110*#REF!</f>
        <v>#REF!</v>
      </c>
      <c r="AK114" s="5" t="e">
        <f>AK110*#REF!</f>
        <v>#REF!</v>
      </c>
      <c r="AL114" s="5" t="e">
        <f>AL110*#REF!</f>
        <v>#REF!</v>
      </c>
      <c r="AM114" s="5" t="e">
        <f>AM110*#REF!</f>
        <v>#REF!</v>
      </c>
      <c r="AN114" s="5" t="e">
        <f>AN110*#REF!</f>
        <v>#REF!</v>
      </c>
      <c r="AO114" s="5" t="e">
        <f>AO110*#REF!</f>
        <v>#REF!</v>
      </c>
      <c r="AP114" s="5" t="e">
        <f>AP110*#REF!</f>
        <v>#REF!</v>
      </c>
      <c r="AQ114" s="5" t="e">
        <f>AQ110*#REF!</f>
        <v>#REF!</v>
      </c>
      <c r="AR114" s="5" t="e">
        <f>AR110*#REF!</f>
        <v>#REF!</v>
      </c>
      <c r="AS114" s="5" t="e">
        <f>AS110*#REF!</f>
        <v>#REF!</v>
      </c>
      <c r="AT114" s="5" t="e">
        <f>AT110*#REF!</f>
        <v>#REF!</v>
      </c>
      <c r="AU114" s="5" t="e">
        <f>AU110*#REF!</f>
        <v>#REF!</v>
      </c>
      <c r="AV114" s="5" t="e">
        <f>AV110*#REF!</f>
        <v>#REF!</v>
      </c>
      <c r="AW114" s="5" t="e">
        <f>AW110*#REF!</f>
        <v>#REF!</v>
      </c>
      <c r="AX114" s="5" t="e">
        <f>AX110*#REF!</f>
        <v>#REF!</v>
      </c>
      <c r="AY114" s="5" t="e">
        <f>AY110*#REF!</f>
        <v>#REF!</v>
      </c>
      <c r="AZ114" s="5" t="e">
        <f>AZ110*#REF!</f>
        <v>#REF!</v>
      </c>
      <c r="BA114" s="5" t="e">
        <f>BA110*#REF!</f>
        <v>#REF!</v>
      </c>
      <c r="BB114" s="5" t="e">
        <f>BB110*#REF!</f>
        <v>#REF!</v>
      </c>
      <c r="BC114" s="5" t="e">
        <f>BC110*#REF!</f>
        <v>#REF!</v>
      </c>
      <c r="BD114" s="5" t="e">
        <f>BD110*#REF!</f>
        <v>#REF!</v>
      </c>
      <c r="BE114" s="5" t="e">
        <f>BE110*#REF!</f>
        <v>#REF!</v>
      </c>
      <c r="BF114" s="5" t="e">
        <f>BF110*#REF!</f>
        <v>#REF!</v>
      </c>
      <c r="BG114" s="5" t="e">
        <f>BG110*#REF!</f>
        <v>#REF!</v>
      </c>
      <c r="BH114" s="5" t="e">
        <f>BH110*#REF!</f>
        <v>#REF!</v>
      </c>
      <c r="BI114" s="5"/>
    </row>
    <row r="115" spans="1:61" x14ac:dyDescent="0.2">
      <c r="A115" t="s">
        <v>479</v>
      </c>
      <c r="B115" s="31"/>
      <c r="C115" s="5">
        <v>0</v>
      </c>
      <c r="D115" s="5" t="e">
        <f xml:space="preserve"> D114-C114</f>
        <v>#REF!</v>
      </c>
      <c r="E115" s="5" t="e">
        <f t="shared" ref="E115:BH115" si="56" xml:space="preserve"> E114-D114</f>
        <v>#REF!</v>
      </c>
      <c r="F115" s="5" t="e">
        <f t="shared" si="56"/>
        <v>#REF!</v>
      </c>
      <c r="G115" s="5" t="e">
        <f t="shared" si="56"/>
        <v>#REF!</v>
      </c>
      <c r="H115" s="5" t="e">
        <f t="shared" si="56"/>
        <v>#REF!</v>
      </c>
      <c r="I115" s="5" t="e">
        <f t="shared" si="56"/>
        <v>#REF!</v>
      </c>
      <c r="J115" s="5" t="e">
        <f t="shared" si="56"/>
        <v>#REF!</v>
      </c>
      <c r="K115" s="5" t="e">
        <f t="shared" si="56"/>
        <v>#REF!</v>
      </c>
      <c r="L115" s="5" t="e">
        <f t="shared" si="56"/>
        <v>#REF!</v>
      </c>
      <c r="M115" s="5" t="e">
        <f t="shared" si="56"/>
        <v>#REF!</v>
      </c>
      <c r="N115" s="5" t="e">
        <f t="shared" si="56"/>
        <v>#REF!</v>
      </c>
      <c r="O115" s="5" t="e">
        <f t="shared" si="56"/>
        <v>#REF!</v>
      </c>
      <c r="P115" s="5" t="e">
        <f t="shared" si="56"/>
        <v>#REF!</v>
      </c>
      <c r="Q115" s="5" t="e">
        <f t="shared" si="56"/>
        <v>#REF!</v>
      </c>
      <c r="R115" s="5" t="e">
        <f t="shared" si="56"/>
        <v>#REF!</v>
      </c>
      <c r="S115" s="5" t="e">
        <f t="shared" si="56"/>
        <v>#REF!</v>
      </c>
      <c r="T115" s="5" t="e">
        <f t="shared" si="56"/>
        <v>#REF!</v>
      </c>
      <c r="U115" s="5" t="e">
        <f t="shared" si="56"/>
        <v>#REF!</v>
      </c>
      <c r="V115" s="5" t="e">
        <f t="shared" si="56"/>
        <v>#REF!</v>
      </c>
      <c r="W115" s="5" t="e">
        <f t="shared" si="56"/>
        <v>#REF!</v>
      </c>
      <c r="X115" s="5" t="e">
        <f t="shared" si="56"/>
        <v>#REF!</v>
      </c>
      <c r="Y115" s="5" t="e">
        <f t="shared" si="56"/>
        <v>#REF!</v>
      </c>
      <c r="Z115" s="5" t="e">
        <f t="shared" si="56"/>
        <v>#REF!</v>
      </c>
      <c r="AA115" s="5" t="e">
        <f t="shared" si="56"/>
        <v>#REF!</v>
      </c>
      <c r="AB115" s="5" t="e">
        <f t="shared" si="56"/>
        <v>#REF!</v>
      </c>
      <c r="AC115" s="5" t="e">
        <f t="shared" si="56"/>
        <v>#REF!</v>
      </c>
      <c r="AD115" s="5" t="e">
        <f t="shared" si="56"/>
        <v>#REF!</v>
      </c>
      <c r="AE115" s="5" t="e">
        <f t="shared" si="56"/>
        <v>#REF!</v>
      </c>
      <c r="AF115" s="5" t="e">
        <f t="shared" si="56"/>
        <v>#REF!</v>
      </c>
      <c r="AG115" s="5" t="e">
        <f t="shared" si="56"/>
        <v>#REF!</v>
      </c>
      <c r="AH115" s="5" t="e">
        <f t="shared" si="56"/>
        <v>#REF!</v>
      </c>
      <c r="AI115" s="5" t="e">
        <f t="shared" si="56"/>
        <v>#REF!</v>
      </c>
      <c r="AJ115" s="5" t="e">
        <f t="shared" si="56"/>
        <v>#REF!</v>
      </c>
      <c r="AK115" s="5" t="e">
        <f t="shared" si="56"/>
        <v>#REF!</v>
      </c>
      <c r="AL115" s="5" t="e">
        <f t="shared" si="56"/>
        <v>#REF!</v>
      </c>
      <c r="AM115" s="5" t="e">
        <f t="shared" si="56"/>
        <v>#REF!</v>
      </c>
      <c r="AN115" s="5" t="e">
        <f t="shared" si="56"/>
        <v>#REF!</v>
      </c>
      <c r="AO115" s="5" t="e">
        <f t="shared" si="56"/>
        <v>#REF!</v>
      </c>
      <c r="AP115" s="5" t="e">
        <f t="shared" si="56"/>
        <v>#REF!</v>
      </c>
      <c r="AQ115" s="5" t="e">
        <f t="shared" si="56"/>
        <v>#REF!</v>
      </c>
      <c r="AR115" s="5" t="e">
        <f t="shared" si="56"/>
        <v>#REF!</v>
      </c>
      <c r="AS115" s="5" t="e">
        <f t="shared" si="56"/>
        <v>#REF!</v>
      </c>
      <c r="AT115" s="5" t="e">
        <f t="shared" si="56"/>
        <v>#REF!</v>
      </c>
      <c r="AU115" s="5" t="e">
        <f t="shared" si="56"/>
        <v>#REF!</v>
      </c>
      <c r="AV115" s="5" t="e">
        <f t="shared" si="56"/>
        <v>#REF!</v>
      </c>
      <c r="AW115" s="5" t="e">
        <f t="shared" si="56"/>
        <v>#REF!</v>
      </c>
      <c r="AX115" s="5" t="e">
        <f t="shared" si="56"/>
        <v>#REF!</v>
      </c>
      <c r="AY115" s="5" t="e">
        <f t="shared" si="56"/>
        <v>#REF!</v>
      </c>
      <c r="AZ115" s="5" t="e">
        <f t="shared" si="56"/>
        <v>#REF!</v>
      </c>
      <c r="BA115" s="5" t="e">
        <f t="shared" si="56"/>
        <v>#REF!</v>
      </c>
      <c r="BB115" s="5" t="e">
        <f t="shared" si="56"/>
        <v>#REF!</v>
      </c>
      <c r="BC115" s="5" t="e">
        <f t="shared" si="56"/>
        <v>#REF!</v>
      </c>
      <c r="BD115" s="5" t="e">
        <f t="shared" si="56"/>
        <v>#REF!</v>
      </c>
      <c r="BE115" s="5" t="e">
        <f t="shared" si="56"/>
        <v>#REF!</v>
      </c>
      <c r="BF115" s="5" t="e">
        <f t="shared" si="56"/>
        <v>#REF!</v>
      </c>
      <c r="BG115" s="5" t="e">
        <f t="shared" si="56"/>
        <v>#REF!</v>
      </c>
      <c r="BH115" s="5" t="e">
        <f t="shared" si="56"/>
        <v>#REF!</v>
      </c>
      <c r="BI115" s="5"/>
    </row>
    <row r="116" spans="1:61" hidden="1" x14ac:dyDescent="0.2">
      <c r="A116" t="s">
        <v>481</v>
      </c>
      <c r="B116" s="31"/>
      <c r="C116" s="78">
        <v>85</v>
      </c>
      <c r="D116" s="10">
        <f xml:space="preserve"> $C116</f>
        <v>85</v>
      </c>
      <c r="E116" s="10">
        <f t="shared" ref="E116:BH116" si="57" xml:space="preserve"> $C116</f>
        <v>85</v>
      </c>
      <c r="F116" s="10">
        <f t="shared" si="57"/>
        <v>85</v>
      </c>
      <c r="G116" s="10">
        <f t="shared" si="57"/>
        <v>85</v>
      </c>
      <c r="H116" s="10">
        <f t="shared" si="57"/>
        <v>85</v>
      </c>
      <c r="I116" s="10">
        <f t="shared" si="57"/>
        <v>85</v>
      </c>
      <c r="J116" s="10">
        <f t="shared" si="57"/>
        <v>85</v>
      </c>
      <c r="K116" s="10">
        <f t="shared" si="57"/>
        <v>85</v>
      </c>
      <c r="L116" s="10">
        <f t="shared" si="57"/>
        <v>85</v>
      </c>
      <c r="M116" s="10">
        <f t="shared" si="57"/>
        <v>85</v>
      </c>
      <c r="N116" s="10">
        <f t="shared" si="57"/>
        <v>85</v>
      </c>
      <c r="O116" s="10">
        <f t="shared" si="57"/>
        <v>85</v>
      </c>
      <c r="P116" s="10">
        <f t="shared" si="57"/>
        <v>85</v>
      </c>
      <c r="Q116" s="10">
        <f t="shared" si="57"/>
        <v>85</v>
      </c>
      <c r="R116" s="10">
        <f t="shared" si="57"/>
        <v>85</v>
      </c>
      <c r="S116" s="10">
        <f t="shared" si="57"/>
        <v>85</v>
      </c>
      <c r="T116" s="10">
        <f t="shared" si="57"/>
        <v>85</v>
      </c>
      <c r="U116" s="10">
        <f t="shared" si="57"/>
        <v>85</v>
      </c>
      <c r="V116" s="10">
        <f t="shared" si="57"/>
        <v>85</v>
      </c>
      <c r="W116" s="10">
        <f t="shared" si="57"/>
        <v>85</v>
      </c>
      <c r="X116" s="10">
        <f t="shared" si="57"/>
        <v>85</v>
      </c>
      <c r="Y116" s="10">
        <f t="shared" si="57"/>
        <v>85</v>
      </c>
      <c r="Z116" s="10">
        <f t="shared" si="57"/>
        <v>85</v>
      </c>
      <c r="AA116" s="10">
        <f t="shared" si="57"/>
        <v>85</v>
      </c>
      <c r="AB116" s="10">
        <f t="shared" si="57"/>
        <v>85</v>
      </c>
      <c r="AC116" s="10">
        <f t="shared" si="57"/>
        <v>85</v>
      </c>
      <c r="AD116" s="10">
        <f t="shared" si="57"/>
        <v>85</v>
      </c>
      <c r="AE116" s="10">
        <f t="shared" si="57"/>
        <v>85</v>
      </c>
      <c r="AF116" s="10">
        <f t="shared" si="57"/>
        <v>85</v>
      </c>
      <c r="AG116" s="10">
        <f t="shared" si="57"/>
        <v>85</v>
      </c>
      <c r="AH116" s="10">
        <f t="shared" si="57"/>
        <v>85</v>
      </c>
      <c r="AI116" s="10">
        <f t="shared" si="57"/>
        <v>85</v>
      </c>
      <c r="AJ116" s="10">
        <f t="shared" si="57"/>
        <v>85</v>
      </c>
      <c r="AK116" s="10">
        <f t="shared" si="57"/>
        <v>85</v>
      </c>
      <c r="AL116" s="10">
        <f t="shared" si="57"/>
        <v>85</v>
      </c>
      <c r="AM116" s="10">
        <f t="shared" si="57"/>
        <v>85</v>
      </c>
      <c r="AN116" s="10">
        <f t="shared" si="57"/>
        <v>85</v>
      </c>
      <c r="AO116" s="10">
        <f t="shared" si="57"/>
        <v>85</v>
      </c>
      <c r="AP116" s="10">
        <f t="shared" si="57"/>
        <v>85</v>
      </c>
      <c r="AQ116" s="10">
        <f t="shared" si="57"/>
        <v>85</v>
      </c>
      <c r="AR116" s="10">
        <f t="shared" si="57"/>
        <v>85</v>
      </c>
      <c r="AS116" s="10">
        <f t="shared" si="57"/>
        <v>85</v>
      </c>
      <c r="AT116" s="10">
        <f t="shared" si="57"/>
        <v>85</v>
      </c>
      <c r="AU116" s="10">
        <f t="shared" si="57"/>
        <v>85</v>
      </c>
      <c r="AV116" s="10">
        <f t="shared" si="57"/>
        <v>85</v>
      </c>
      <c r="AW116" s="10">
        <f t="shared" si="57"/>
        <v>85</v>
      </c>
      <c r="AX116" s="10">
        <f t="shared" si="57"/>
        <v>85</v>
      </c>
      <c r="AY116" s="10">
        <f t="shared" si="57"/>
        <v>85</v>
      </c>
      <c r="AZ116" s="10">
        <f t="shared" si="57"/>
        <v>85</v>
      </c>
      <c r="BA116" s="10">
        <f t="shared" si="57"/>
        <v>85</v>
      </c>
      <c r="BB116" s="10">
        <f t="shared" si="57"/>
        <v>85</v>
      </c>
      <c r="BC116" s="10">
        <f t="shared" si="57"/>
        <v>85</v>
      </c>
      <c r="BD116" s="10">
        <f t="shared" si="57"/>
        <v>85</v>
      </c>
      <c r="BE116" s="10">
        <f t="shared" si="57"/>
        <v>85</v>
      </c>
      <c r="BF116" s="10">
        <f t="shared" si="57"/>
        <v>85</v>
      </c>
      <c r="BG116" s="10">
        <f t="shared" si="57"/>
        <v>85</v>
      </c>
      <c r="BH116" s="10">
        <f t="shared" si="57"/>
        <v>85</v>
      </c>
      <c r="BI116" s="10"/>
    </row>
    <row r="117" spans="1:61" s="72" customFormat="1" hidden="1" x14ac:dyDescent="0.2">
      <c r="A117" s="72" t="s">
        <v>444</v>
      </c>
      <c r="B117" s="128"/>
      <c r="C117" s="73" t="e">
        <f t="shared" ref="C117:BH117" si="58">C113*C116</f>
        <v>#REF!</v>
      </c>
      <c r="D117" s="73" t="e">
        <f t="shared" si="58"/>
        <v>#REF!</v>
      </c>
      <c r="E117" s="73" t="e">
        <f t="shared" si="58"/>
        <v>#REF!</v>
      </c>
      <c r="F117" s="73" t="e">
        <f t="shared" si="58"/>
        <v>#REF!</v>
      </c>
      <c r="G117" s="73" t="e">
        <f t="shared" si="58"/>
        <v>#REF!</v>
      </c>
      <c r="H117" s="73" t="e">
        <f t="shared" si="58"/>
        <v>#REF!</v>
      </c>
      <c r="I117" s="73" t="e">
        <f t="shared" si="58"/>
        <v>#REF!</v>
      </c>
      <c r="J117" s="73" t="e">
        <f t="shared" si="58"/>
        <v>#REF!</v>
      </c>
      <c r="K117" s="73" t="e">
        <f t="shared" si="58"/>
        <v>#REF!</v>
      </c>
      <c r="L117" s="73" t="e">
        <f t="shared" si="58"/>
        <v>#REF!</v>
      </c>
      <c r="M117" s="73" t="e">
        <f t="shared" si="58"/>
        <v>#REF!</v>
      </c>
      <c r="N117" s="73" t="e">
        <f t="shared" si="58"/>
        <v>#REF!</v>
      </c>
      <c r="O117" s="73" t="e">
        <f t="shared" si="58"/>
        <v>#REF!</v>
      </c>
      <c r="P117" s="73" t="e">
        <f t="shared" si="58"/>
        <v>#REF!</v>
      </c>
      <c r="Q117" s="73" t="e">
        <f t="shared" si="58"/>
        <v>#REF!</v>
      </c>
      <c r="R117" s="73" t="e">
        <f t="shared" si="58"/>
        <v>#REF!</v>
      </c>
      <c r="S117" s="73" t="e">
        <f t="shared" si="58"/>
        <v>#REF!</v>
      </c>
      <c r="T117" s="73" t="e">
        <f t="shared" si="58"/>
        <v>#REF!</v>
      </c>
      <c r="U117" s="73" t="e">
        <f t="shared" si="58"/>
        <v>#REF!</v>
      </c>
      <c r="V117" s="73" t="e">
        <f t="shared" si="58"/>
        <v>#REF!</v>
      </c>
      <c r="W117" s="73" t="e">
        <f t="shared" si="58"/>
        <v>#REF!</v>
      </c>
      <c r="X117" s="73" t="e">
        <f t="shared" si="58"/>
        <v>#REF!</v>
      </c>
      <c r="Y117" s="73" t="e">
        <f t="shared" si="58"/>
        <v>#REF!</v>
      </c>
      <c r="Z117" s="73" t="e">
        <f t="shared" si="58"/>
        <v>#REF!</v>
      </c>
      <c r="AA117" s="73" t="e">
        <f t="shared" si="58"/>
        <v>#REF!</v>
      </c>
      <c r="AB117" s="73" t="e">
        <f t="shared" si="58"/>
        <v>#REF!</v>
      </c>
      <c r="AC117" s="73" t="e">
        <f t="shared" si="58"/>
        <v>#REF!</v>
      </c>
      <c r="AD117" s="73" t="e">
        <f t="shared" si="58"/>
        <v>#REF!</v>
      </c>
      <c r="AE117" s="73" t="e">
        <f t="shared" si="58"/>
        <v>#REF!</v>
      </c>
      <c r="AF117" s="73" t="e">
        <f t="shared" si="58"/>
        <v>#REF!</v>
      </c>
      <c r="AG117" s="73" t="e">
        <f t="shared" si="58"/>
        <v>#REF!</v>
      </c>
      <c r="AH117" s="73" t="e">
        <f t="shared" si="58"/>
        <v>#REF!</v>
      </c>
      <c r="AI117" s="73" t="e">
        <f t="shared" si="58"/>
        <v>#REF!</v>
      </c>
      <c r="AJ117" s="73" t="e">
        <f t="shared" si="58"/>
        <v>#REF!</v>
      </c>
      <c r="AK117" s="73" t="e">
        <f t="shared" si="58"/>
        <v>#REF!</v>
      </c>
      <c r="AL117" s="73" t="e">
        <f t="shared" si="58"/>
        <v>#REF!</v>
      </c>
      <c r="AM117" s="73" t="e">
        <f t="shared" si="58"/>
        <v>#REF!</v>
      </c>
      <c r="AN117" s="73" t="e">
        <f t="shared" si="58"/>
        <v>#REF!</v>
      </c>
      <c r="AO117" s="73" t="e">
        <f t="shared" si="58"/>
        <v>#REF!</v>
      </c>
      <c r="AP117" s="73" t="e">
        <f t="shared" si="58"/>
        <v>#REF!</v>
      </c>
      <c r="AQ117" s="73" t="e">
        <f t="shared" si="58"/>
        <v>#REF!</v>
      </c>
      <c r="AR117" s="73" t="e">
        <f t="shared" si="58"/>
        <v>#REF!</v>
      </c>
      <c r="AS117" s="73" t="e">
        <f t="shared" si="58"/>
        <v>#REF!</v>
      </c>
      <c r="AT117" s="73" t="e">
        <f t="shared" si="58"/>
        <v>#REF!</v>
      </c>
      <c r="AU117" s="73" t="e">
        <f t="shared" si="58"/>
        <v>#REF!</v>
      </c>
      <c r="AV117" s="73" t="e">
        <f t="shared" si="58"/>
        <v>#REF!</v>
      </c>
      <c r="AW117" s="73" t="e">
        <f t="shared" si="58"/>
        <v>#REF!</v>
      </c>
      <c r="AX117" s="73" t="e">
        <f t="shared" si="58"/>
        <v>#REF!</v>
      </c>
      <c r="AY117" s="73" t="e">
        <f t="shared" si="58"/>
        <v>#REF!</v>
      </c>
      <c r="AZ117" s="73" t="e">
        <f t="shared" si="58"/>
        <v>#REF!</v>
      </c>
      <c r="BA117" s="73" t="e">
        <f t="shared" si="58"/>
        <v>#REF!</v>
      </c>
      <c r="BB117" s="73" t="e">
        <f t="shared" si="58"/>
        <v>#REF!</v>
      </c>
      <c r="BC117" s="73" t="e">
        <f t="shared" si="58"/>
        <v>#REF!</v>
      </c>
      <c r="BD117" s="73" t="e">
        <f t="shared" si="58"/>
        <v>#REF!</v>
      </c>
      <c r="BE117" s="73" t="e">
        <f t="shared" si="58"/>
        <v>#REF!</v>
      </c>
      <c r="BF117" s="73" t="e">
        <f t="shared" si="58"/>
        <v>#REF!</v>
      </c>
      <c r="BG117" s="73" t="e">
        <f t="shared" si="58"/>
        <v>#REF!</v>
      </c>
      <c r="BH117" s="73" t="e">
        <f t="shared" si="58"/>
        <v>#REF!</v>
      </c>
      <c r="BI117" s="73"/>
    </row>
    <row r="118" spans="1:61" s="100" customFormat="1" x14ac:dyDescent="0.2">
      <c r="A118" s="100" t="s">
        <v>507</v>
      </c>
      <c r="B118" s="122"/>
      <c r="C118" s="101" t="e">
        <f xml:space="preserve"> C$110 *#REF!</f>
        <v>#REF!</v>
      </c>
      <c r="D118" s="101" t="e">
        <f xml:space="preserve"> D$110 *#REF!</f>
        <v>#REF!</v>
      </c>
      <c r="E118" s="101" t="e">
        <f xml:space="preserve"> E$110 *#REF!</f>
        <v>#REF!</v>
      </c>
      <c r="F118" s="101" t="e">
        <f xml:space="preserve"> F$110 *#REF!</f>
        <v>#REF!</v>
      </c>
      <c r="G118" s="101" t="e">
        <f xml:space="preserve"> G$110 *#REF!</f>
        <v>#REF!</v>
      </c>
      <c r="H118" s="101" t="e">
        <f xml:space="preserve"> H$110 *#REF!</f>
        <v>#REF!</v>
      </c>
      <c r="I118" s="101" t="e">
        <f xml:space="preserve"> I$110 *#REF!</f>
        <v>#REF!</v>
      </c>
      <c r="J118" s="101" t="e">
        <f xml:space="preserve"> J$110 *#REF!</f>
        <v>#REF!</v>
      </c>
      <c r="K118" s="101" t="e">
        <f xml:space="preserve"> K$110 *#REF!</f>
        <v>#REF!</v>
      </c>
      <c r="L118" s="101" t="e">
        <f xml:space="preserve"> L$110 *#REF!</f>
        <v>#REF!</v>
      </c>
      <c r="M118" s="101" t="e">
        <f xml:space="preserve"> M$110 *#REF!</f>
        <v>#REF!</v>
      </c>
      <c r="N118" s="101" t="e">
        <f xml:space="preserve"> N$110 *#REF!</f>
        <v>#REF!</v>
      </c>
      <c r="O118" s="101" t="e">
        <f xml:space="preserve"> O$110 *#REF!</f>
        <v>#REF!</v>
      </c>
      <c r="P118" s="101" t="e">
        <f xml:space="preserve"> P$110 *#REF!</f>
        <v>#REF!</v>
      </c>
      <c r="Q118" s="101" t="e">
        <f xml:space="preserve"> Q$110 *#REF!</f>
        <v>#REF!</v>
      </c>
      <c r="R118" s="101" t="e">
        <f xml:space="preserve"> R$110 *#REF!</f>
        <v>#REF!</v>
      </c>
      <c r="S118" s="101" t="e">
        <f xml:space="preserve"> S$110 *#REF!</f>
        <v>#REF!</v>
      </c>
      <c r="T118" s="101" t="e">
        <f xml:space="preserve"> T$110 *#REF!</f>
        <v>#REF!</v>
      </c>
      <c r="U118" s="101" t="e">
        <f xml:space="preserve"> U$110 *#REF!</f>
        <v>#REF!</v>
      </c>
      <c r="V118" s="101" t="e">
        <f xml:space="preserve"> V$110 *#REF!</f>
        <v>#REF!</v>
      </c>
      <c r="W118" s="101" t="e">
        <f xml:space="preserve"> W$110 *#REF!</f>
        <v>#REF!</v>
      </c>
      <c r="X118" s="101" t="e">
        <f xml:space="preserve"> X$110 *#REF!</f>
        <v>#REF!</v>
      </c>
      <c r="Y118" s="101" t="e">
        <f xml:space="preserve"> Y$110 *#REF!</f>
        <v>#REF!</v>
      </c>
      <c r="Z118" s="101" t="e">
        <f xml:space="preserve"> Z$110 *#REF!</f>
        <v>#REF!</v>
      </c>
      <c r="AA118" s="101" t="e">
        <f xml:space="preserve"> AA$110 *#REF!</f>
        <v>#REF!</v>
      </c>
      <c r="AB118" s="101" t="e">
        <f xml:space="preserve"> AB$110 *#REF!</f>
        <v>#REF!</v>
      </c>
      <c r="AC118" s="101" t="e">
        <f xml:space="preserve"> AC$110 *#REF!</f>
        <v>#REF!</v>
      </c>
      <c r="AD118" s="101" t="e">
        <f xml:space="preserve"> AD$110 *#REF!</f>
        <v>#REF!</v>
      </c>
      <c r="AE118" s="101" t="e">
        <f xml:space="preserve"> AE$110 *#REF!</f>
        <v>#REF!</v>
      </c>
      <c r="AF118" s="101" t="e">
        <f xml:space="preserve"> AF$110 *#REF!</f>
        <v>#REF!</v>
      </c>
      <c r="AG118" s="101" t="e">
        <f xml:space="preserve"> AG$110 *#REF!</f>
        <v>#REF!</v>
      </c>
      <c r="AH118" s="101" t="e">
        <f xml:space="preserve"> AH$110 *#REF!</f>
        <v>#REF!</v>
      </c>
      <c r="AI118" s="101" t="e">
        <f xml:space="preserve"> AI$110 *#REF!</f>
        <v>#REF!</v>
      </c>
      <c r="AJ118" s="101" t="e">
        <f xml:space="preserve"> AJ$110 *#REF!</f>
        <v>#REF!</v>
      </c>
      <c r="AK118" s="101" t="e">
        <f xml:space="preserve"> AK$110 *#REF!</f>
        <v>#REF!</v>
      </c>
      <c r="AL118" s="101" t="e">
        <f xml:space="preserve"> AL$110 *#REF!</f>
        <v>#REF!</v>
      </c>
      <c r="AM118" s="101" t="e">
        <f xml:space="preserve"> AM$110 *#REF!</f>
        <v>#REF!</v>
      </c>
      <c r="AN118" s="101" t="e">
        <f xml:space="preserve"> AN$110 *#REF!</f>
        <v>#REF!</v>
      </c>
      <c r="AO118" s="101" t="e">
        <f xml:space="preserve"> AO$110 *#REF!</f>
        <v>#REF!</v>
      </c>
      <c r="AP118" s="101" t="e">
        <f xml:space="preserve"> AP$110 *#REF!</f>
        <v>#REF!</v>
      </c>
      <c r="AQ118" s="101" t="e">
        <f xml:space="preserve"> AQ$110 *#REF!</f>
        <v>#REF!</v>
      </c>
      <c r="AR118" s="101" t="e">
        <f xml:space="preserve"> AR$110 *#REF!</f>
        <v>#REF!</v>
      </c>
      <c r="AS118" s="101" t="e">
        <f xml:space="preserve"> AS$110 *#REF!</f>
        <v>#REF!</v>
      </c>
      <c r="AT118" s="101" t="e">
        <f xml:space="preserve"> AT$110 *#REF!</f>
        <v>#REF!</v>
      </c>
      <c r="AU118" s="101" t="e">
        <f xml:space="preserve"> AU$110 *#REF!</f>
        <v>#REF!</v>
      </c>
      <c r="AV118" s="101" t="e">
        <f xml:space="preserve"> AV$110 *#REF!</f>
        <v>#REF!</v>
      </c>
      <c r="AW118" s="101" t="e">
        <f xml:space="preserve"> AW$110 *#REF!</f>
        <v>#REF!</v>
      </c>
      <c r="AX118" s="101" t="e">
        <f xml:space="preserve"> AX$110 *#REF!</f>
        <v>#REF!</v>
      </c>
      <c r="AY118" s="101" t="e">
        <f xml:space="preserve"> AY$110 *#REF!</f>
        <v>#REF!</v>
      </c>
      <c r="AZ118" s="101" t="e">
        <f xml:space="preserve"> AZ$110 *#REF!</f>
        <v>#REF!</v>
      </c>
      <c r="BA118" s="101" t="e">
        <f xml:space="preserve"> BA$110 *#REF!</f>
        <v>#REF!</v>
      </c>
      <c r="BB118" s="101" t="e">
        <f xml:space="preserve"> BB$110 *#REF!</f>
        <v>#REF!</v>
      </c>
      <c r="BC118" s="101" t="e">
        <f xml:space="preserve"> BC$110 *#REF!</f>
        <v>#REF!</v>
      </c>
      <c r="BD118" s="101" t="e">
        <f xml:space="preserve"> BD$110 *#REF!</f>
        <v>#REF!</v>
      </c>
      <c r="BE118" s="101" t="e">
        <f xml:space="preserve"> BE$110 *#REF!</f>
        <v>#REF!</v>
      </c>
      <c r="BF118" s="101" t="e">
        <f xml:space="preserve"> BF$110 *#REF!</f>
        <v>#REF!</v>
      </c>
      <c r="BG118" s="101" t="e">
        <f xml:space="preserve"> BG$110 *#REF!</f>
        <v>#REF!</v>
      </c>
      <c r="BH118" s="101" t="e">
        <f xml:space="preserve"> BH$110 *#REF!</f>
        <v>#REF!</v>
      </c>
      <c r="BI118" s="102"/>
    </row>
    <row r="119" spans="1:61" s="87" customFormat="1" x14ac:dyDescent="0.2">
      <c r="A119" s="87" t="s">
        <v>469</v>
      </c>
      <c r="B119" s="129"/>
      <c r="C119" s="89" t="e">
        <f xml:space="preserve"> C$110 *#REF!</f>
        <v>#REF!</v>
      </c>
      <c r="D119" s="89" t="e">
        <f xml:space="preserve"> D$110 *#REF!</f>
        <v>#REF!</v>
      </c>
      <c r="E119" s="89" t="e">
        <f xml:space="preserve"> E$110 *#REF!</f>
        <v>#REF!</v>
      </c>
      <c r="F119" s="89" t="e">
        <f xml:space="preserve"> F$110 *#REF!</f>
        <v>#REF!</v>
      </c>
      <c r="G119" s="89" t="e">
        <f xml:space="preserve"> G$110 *#REF!</f>
        <v>#REF!</v>
      </c>
      <c r="H119" s="89" t="e">
        <f xml:space="preserve"> H$110 *#REF!</f>
        <v>#REF!</v>
      </c>
      <c r="I119" s="89" t="e">
        <f xml:space="preserve"> I$110 *#REF!</f>
        <v>#REF!</v>
      </c>
      <c r="J119" s="89" t="e">
        <f xml:space="preserve"> J$110 *#REF!</f>
        <v>#REF!</v>
      </c>
      <c r="K119" s="89" t="e">
        <f xml:space="preserve"> K$110 *#REF!</f>
        <v>#REF!</v>
      </c>
      <c r="L119" s="89" t="e">
        <f xml:space="preserve"> L$110 *#REF!</f>
        <v>#REF!</v>
      </c>
      <c r="M119" s="89" t="e">
        <f xml:space="preserve"> M$110 *#REF!</f>
        <v>#REF!</v>
      </c>
      <c r="N119" s="89" t="e">
        <f xml:space="preserve"> N$110 *#REF!</f>
        <v>#REF!</v>
      </c>
      <c r="O119" s="89" t="e">
        <f xml:space="preserve"> O$110 *#REF!</f>
        <v>#REF!</v>
      </c>
      <c r="P119" s="89" t="e">
        <f xml:space="preserve"> P$110 *#REF!</f>
        <v>#REF!</v>
      </c>
      <c r="Q119" s="89" t="e">
        <f xml:space="preserve"> Q$110 *#REF!</f>
        <v>#REF!</v>
      </c>
      <c r="R119" s="89" t="e">
        <f xml:space="preserve"> R$110 *#REF!</f>
        <v>#REF!</v>
      </c>
      <c r="S119" s="89" t="e">
        <f xml:space="preserve"> S$110 *#REF!</f>
        <v>#REF!</v>
      </c>
      <c r="T119" s="89" t="e">
        <f xml:space="preserve"> T$110 *#REF!</f>
        <v>#REF!</v>
      </c>
      <c r="U119" s="89" t="e">
        <f xml:space="preserve"> U$110 *#REF!</f>
        <v>#REF!</v>
      </c>
      <c r="V119" s="89" t="e">
        <f xml:space="preserve"> V$110 *#REF!</f>
        <v>#REF!</v>
      </c>
      <c r="W119" s="89" t="e">
        <f xml:space="preserve"> W$110 *#REF!</f>
        <v>#REF!</v>
      </c>
      <c r="X119" s="89" t="e">
        <f xml:space="preserve"> X$110 *#REF!</f>
        <v>#REF!</v>
      </c>
      <c r="Y119" s="89" t="e">
        <f xml:space="preserve"> Y$110 *#REF!</f>
        <v>#REF!</v>
      </c>
      <c r="Z119" s="89" t="e">
        <f xml:space="preserve"> Z$110 *#REF!</f>
        <v>#REF!</v>
      </c>
      <c r="AA119" s="89" t="e">
        <f xml:space="preserve"> AA$110 *#REF!</f>
        <v>#REF!</v>
      </c>
      <c r="AB119" s="89" t="e">
        <f xml:space="preserve"> AB$110 *#REF!</f>
        <v>#REF!</v>
      </c>
      <c r="AC119" s="89" t="e">
        <f xml:space="preserve"> AC$110 *#REF!</f>
        <v>#REF!</v>
      </c>
      <c r="AD119" s="89" t="e">
        <f xml:space="preserve"> AD$110 *#REF!</f>
        <v>#REF!</v>
      </c>
      <c r="AE119" s="89" t="e">
        <f xml:space="preserve"> AE$110 *#REF!</f>
        <v>#REF!</v>
      </c>
      <c r="AF119" s="89" t="e">
        <f xml:space="preserve"> AF$110 *#REF!</f>
        <v>#REF!</v>
      </c>
      <c r="AG119" s="89" t="e">
        <f xml:space="preserve"> AG$110 *#REF!</f>
        <v>#REF!</v>
      </c>
      <c r="AH119" s="89" t="e">
        <f xml:space="preserve"> AH$110 *#REF!</f>
        <v>#REF!</v>
      </c>
      <c r="AI119" s="89" t="e">
        <f xml:space="preserve"> AI$110 *#REF!</f>
        <v>#REF!</v>
      </c>
      <c r="AJ119" s="89" t="e">
        <f xml:space="preserve"> AJ$110 *#REF!</f>
        <v>#REF!</v>
      </c>
      <c r="AK119" s="89" t="e">
        <f xml:space="preserve"> AK$110 *#REF!</f>
        <v>#REF!</v>
      </c>
      <c r="AL119" s="89" t="e">
        <f xml:space="preserve"> AL$110 *#REF!</f>
        <v>#REF!</v>
      </c>
      <c r="AM119" s="89" t="e">
        <f xml:space="preserve"> AM$110 *#REF!</f>
        <v>#REF!</v>
      </c>
      <c r="AN119" s="89" t="e">
        <f xml:space="preserve"> AN$110 *#REF!</f>
        <v>#REF!</v>
      </c>
      <c r="AO119" s="89" t="e">
        <f xml:space="preserve"> AO$110 *#REF!</f>
        <v>#REF!</v>
      </c>
      <c r="AP119" s="89" t="e">
        <f xml:space="preserve"> AP$110 *#REF!</f>
        <v>#REF!</v>
      </c>
      <c r="AQ119" s="89" t="e">
        <f xml:space="preserve"> AQ$110 *#REF!</f>
        <v>#REF!</v>
      </c>
      <c r="AR119" s="89" t="e">
        <f xml:space="preserve"> AR$110 *#REF!</f>
        <v>#REF!</v>
      </c>
      <c r="AS119" s="89" t="e">
        <f xml:space="preserve"> AS$110 *#REF!</f>
        <v>#REF!</v>
      </c>
      <c r="AT119" s="89" t="e">
        <f xml:space="preserve"> AT$110 *#REF!</f>
        <v>#REF!</v>
      </c>
      <c r="AU119" s="89" t="e">
        <f xml:space="preserve"> AU$110 *#REF!</f>
        <v>#REF!</v>
      </c>
      <c r="AV119" s="89" t="e">
        <f xml:space="preserve"> AV$110 *#REF!</f>
        <v>#REF!</v>
      </c>
      <c r="AW119" s="89" t="e">
        <f xml:space="preserve"> AW$110 *#REF!</f>
        <v>#REF!</v>
      </c>
      <c r="AX119" s="89" t="e">
        <f xml:space="preserve"> AX$110 *#REF!</f>
        <v>#REF!</v>
      </c>
      <c r="AY119" s="89" t="e">
        <f xml:space="preserve"> AY$110 *#REF!</f>
        <v>#REF!</v>
      </c>
      <c r="AZ119" s="89" t="e">
        <f xml:space="preserve"> AZ$110 *#REF!</f>
        <v>#REF!</v>
      </c>
      <c r="BA119" s="89" t="e">
        <f xml:space="preserve"> BA$110 *#REF!</f>
        <v>#REF!</v>
      </c>
      <c r="BB119" s="89" t="e">
        <f xml:space="preserve"> BB$110 *#REF!</f>
        <v>#REF!</v>
      </c>
      <c r="BC119" s="89" t="e">
        <f xml:space="preserve"> BC$110 *#REF!</f>
        <v>#REF!</v>
      </c>
      <c r="BD119" s="89" t="e">
        <f xml:space="preserve"> BD$110 *#REF!</f>
        <v>#REF!</v>
      </c>
      <c r="BE119" s="89" t="e">
        <f xml:space="preserve"> BE$110 *#REF!</f>
        <v>#REF!</v>
      </c>
      <c r="BF119" s="89" t="e">
        <f xml:space="preserve"> BF$110 *#REF!</f>
        <v>#REF!</v>
      </c>
      <c r="BG119" s="89" t="e">
        <f xml:space="preserve"> BG$110 *#REF!</f>
        <v>#REF!</v>
      </c>
      <c r="BH119" s="89" t="e">
        <f xml:space="preserve"> BH$110 *#REF!</f>
        <v>#REF!</v>
      </c>
      <c r="BI119" s="88"/>
    </row>
    <row r="120" spans="1:61" s="91" customFormat="1" x14ac:dyDescent="0.2">
      <c r="A120" s="99" t="s">
        <v>582</v>
      </c>
      <c r="B120" s="127"/>
      <c r="C120" s="90" t="e">
        <f xml:space="preserve"> C118-C119</f>
        <v>#REF!</v>
      </c>
      <c r="D120" s="90" t="e">
        <f t="shared" ref="D120:BH120" si="59" xml:space="preserve"> D118-D119</f>
        <v>#REF!</v>
      </c>
      <c r="E120" s="90" t="e">
        <f t="shared" si="59"/>
        <v>#REF!</v>
      </c>
      <c r="F120" s="90" t="e">
        <f t="shared" si="59"/>
        <v>#REF!</v>
      </c>
      <c r="G120" s="90" t="e">
        <f t="shared" si="59"/>
        <v>#REF!</v>
      </c>
      <c r="H120" s="90" t="e">
        <f t="shared" si="59"/>
        <v>#REF!</v>
      </c>
      <c r="I120" s="90" t="e">
        <f t="shared" si="59"/>
        <v>#REF!</v>
      </c>
      <c r="J120" s="90" t="e">
        <f t="shared" si="59"/>
        <v>#REF!</v>
      </c>
      <c r="K120" s="90" t="e">
        <f t="shared" si="59"/>
        <v>#REF!</v>
      </c>
      <c r="L120" s="90" t="e">
        <f t="shared" si="59"/>
        <v>#REF!</v>
      </c>
      <c r="M120" s="90" t="e">
        <f t="shared" si="59"/>
        <v>#REF!</v>
      </c>
      <c r="N120" s="90" t="e">
        <f t="shared" si="59"/>
        <v>#REF!</v>
      </c>
      <c r="O120" s="90" t="e">
        <f t="shared" si="59"/>
        <v>#REF!</v>
      </c>
      <c r="P120" s="90" t="e">
        <f t="shared" si="59"/>
        <v>#REF!</v>
      </c>
      <c r="Q120" s="90" t="e">
        <f t="shared" si="59"/>
        <v>#REF!</v>
      </c>
      <c r="R120" s="90" t="e">
        <f t="shared" si="59"/>
        <v>#REF!</v>
      </c>
      <c r="S120" s="90" t="e">
        <f t="shared" si="59"/>
        <v>#REF!</v>
      </c>
      <c r="T120" s="90" t="e">
        <f t="shared" si="59"/>
        <v>#REF!</v>
      </c>
      <c r="U120" s="90" t="e">
        <f t="shared" si="59"/>
        <v>#REF!</v>
      </c>
      <c r="V120" s="90" t="e">
        <f t="shared" si="59"/>
        <v>#REF!</v>
      </c>
      <c r="W120" s="90" t="e">
        <f t="shared" si="59"/>
        <v>#REF!</v>
      </c>
      <c r="X120" s="90" t="e">
        <f t="shared" si="59"/>
        <v>#REF!</v>
      </c>
      <c r="Y120" s="90" t="e">
        <f t="shared" si="59"/>
        <v>#REF!</v>
      </c>
      <c r="Z120" s="90" t="e">
        <f t="shared" si="59"/>
        <v>#REF!</v>
      </c>
      <c r="AA120" s="90" t="e">
        <f t="shared" si="59"/>
        <v>#REF!</v>
      </c>
      <c r="AB120" s="90" t="e">
        <f t="shared" si="59"/>
        <v>#REF!</v>
      </c>
      <c r="AC120" s="90" t="e">
        <f t="shared" si="59"/>
        <v>#REF!</v>
      </c>
      <c r="AD120" s="90" t="e">
        <f t="shared" si="59"/>
        <v>#REF!</v>
      </c>
      <c r="AE120" s="90" t="e">
        <f t="shared" si="59"/>
        <v>#REF!</v>
      </c>
      <c r="AF120" s="90" t="e">
        <f t="shared" si="59"/>
        <v>#REF!</v>
      </c>
      <c r="AG120" s="90" t="e">
        <f t="shared" si="59"/>
        <v>#REF!</v>
      </c>
      <c r="AH120" s="90" t="e">
        <f t="shared" si="59"/>
        <v>#REF!</v>
      </c>
      <c r="AI120" s="90" t="e">
        <f t="shared" si="59"/>
        <v>#REF!</v>
      </c>
      <c r="AJ120" s="90" t="e">
        <f t="shared" si="59"/>
        <v>#REF!</v>
      </c>
      <c r="AK120" s="90" t="e">
        <f t="shared" si="59"/>
        <v>#REF!</v>
      </c>
      <c r="AL120" s="90" t="e">
        <f t="shared" si="59"/>
        <v>#REF!</v>
      </c>
      <c r="AM120" s="90" t="e">
        <f t="shared" si="59"/>
        <v>#REF!</v>
      </c>
      <c r="AN120" s="90" t="e">
        <f t="shared" si="59"/>
        <v>#REF!</v>
      </c>
      <c r="AO120" s="90" t="e">
        <f t="shared" si="59"/>
        <v>#REF!</v>
      </c>
      <c r="AP120" s="90" t="e">
        <f t="shared" si="59"/>
        <v>#REF!</v>
      </c>
      <c r="AQ120" s="90" t="e">
        <f t="shared" si="59"/>
        <v>#REF!</v>
      </c>
      <c r="AR120" s="90" t="e">
        <f t="shared" si="59"/>
        <v>#REF!</v>
      </c>
      <c r="AS120" s="90" t="e">
        <f t="shared" si="59"/>
        <v>#REF!</v>
      </c>
      <c r="AT120" s="90" t="e">
        <f t="shared" si="59"/>
        <v>#REF!</v>
      </c>
      <c r="AU120" s="90" t="e">
        <f t="shared" si="59"/>
        <v>#REF!</v>
      </c>
      <c r="AV120" s="90" t="e">
        <f t="shared" si="59"/>
        <v>#REF!</v>
      </c>
      <c r="AW120" s="90" t="e">
        <f t="shared" si="59"/>
        <v>#REF!</v>
      </c>
      <c r="AX120" s="90" t="e">
        <f t="shared" si="59"/>
        <v>#REF!</v>
      </c>
      <c r="AY120" s="90" t="e">
        <f t="shared" si="59"/>
        <v>#REF!</v>
      </c>
      <c r="AZ120" s="90" t="e">
        <f t="shared" si="59"/>
        <v>#REF!</v>
      </c>
      <c r="BA120" s="90" t="e">
        <f t="shared" si="59"/>
        <v>#REF!</v>
      </c>
      <c r="BB120" s="90" t="e">
        <f t="shared" si="59"/>
        <v>#REF!</v>
      </c>
      <c r="BC120" s="90" t="e">
        <f t="shared" si="59"/>
        <v>#REF!</v>
      </c>
      <c r="BD120" s="90" t="e">
        <f t="shared" si="59"/>
        <v>#REF!</v>
      </c>
      <c r="BE120" s="90" t="e">
        <f t="shared" si="59"/>
        <v>#REF!</v>
      </c>
      <c r="BF120" s="90" t="e">
        <f t="shared" si="59"/>
        <v>#REF!</v>
      </c>
      <c r="BG120" s="90" t="e">
        <f t="shared" si="59"/>
        <v>#REF!</v>
      </c>
      <c r="BH120" s="90" t="e">
        <f t="shared" si="59"/>
        <v>#REF!</v>
      </c>
      <c r="BI120" s="93"/>
    </row>
    <row r="121" spans="1:61" s="91" customFormat="1" hidden="1" x14ac:dyDescent="0.2">
      <c r="A121" s="99" t="s">
        <v>565</v>
      </c>
      <c r="B121" s="157">
        <v>0</v>
      </c>
      <c r="C121" s="162">
        <v>0</v>
      </c>
      <c r="D121" s="96">
        <f xml:space="preserve"> C121 + $B121</f>
        <v>0</v>
      </c>
      <c r="E121" s="96">
        <f t="shared" ref="E121:BH121" si="60" xml:space="preserve"> D121 + $B121</f>
        <v>0</v>
      </c>
      <c r="F121" s="96">
        <f t="shared" si="60"/>
        <v>0</v>
      </c>
      <c r="G121" s="96">
        <f t="shared" si="60"/>
        <v>0</v>
      </c>
      <c r="H121" s="96">
        <f t="shared" si="60"/>
        <v>0</v>
      </c>
      <c r="I121" s="96">
        <f t="shared" si="60"/>
        <v>0</v>
      </c>
      <c r="J121" s="96">
        <f t="shared" si="60"/>
        <v>0</v>
      </c>
      <c r="K121" s="96">
        <f t="shared" si="60"/>
        <v>0</v>
      </c>
      <c r="L121" s="96">
        <f t="shared" si="60"/>
        <v>0</v>
      </c>
      <c r="M121" s="96">
        <f t="shared" si="60"/>
        <v>0</v>
      </c>
      <c r="N121" s="96">
        <f t="shared" si="60"/>
        <v>0</v>
      </c>
      <c r="O121" s="96">
        <f t="shared" si="60"/>
        <v>0</v>
      </c>
      <c r="P121" s="96">
        <f t="shared" si="60"/>
        <v>0</v>
      </c>
      <c r="Q121" s="96">
        <f t="shared" si="60"/>
        <v>0</v>
      </c>
      <c r="R121" s="96">
        <f t="shared" si="60"/>
        <v>0</v>
      </c>
      <c r="S121" s="96">
        <f t="shared" si="60"/>
        <v>0</v>
      </c>
      <c r="T121" s="96">
        <f t="shared" si="60"/>
        <v>0</v>
      </c>
      <c r="U121" s="96">
        <f t="shared" si="60"/>
        <v>0</v>
      </c>
      <c r="V121" s="96">
        <f t="shared" si="60"/>
        <v>0</v>
      </c>
      <c r="W121" s="96">
        <f t="shared" si="60"/>
        <v>0</v>
      </c>
      <c r="X121" s="96">
        <f t="shared" si="60"/>
        <v>0</v>
      </c>
      <c r="Y121" s="96">
        <f t="shared" si="60"/>
        <v>0</v>
      </c>
      <c r="Z121" s="96">
        <f t="shared" si="60"/>
        <v>0</v>
      </c>
      <c r="AA121" s="96">
        <f t="shared" si="60"/>
        <v>0</v>
      </c>
      <c r="AB121" s="96">
        <f t="shared" si="60"/>
        <v>0</v>
      </c>
      <c r="AC121" s="96">
        <f t="shared" si="60"/>
        <v>0</v>
      </c>
      <c r="AD121" s="96">
        <f t="shared" si="60"/>
        <v>0</v>
      </c>
      <c r="AE121" s="96">
        <f t="shared" si="60"/>
        <v>0</v>
      </c>
      <c r="AF121" s="96">
        <f t="shared" si="60"/>
        <v>0</v>
      </c>
      <c r="AG121" s="96">
        <f t="shared" si="60"/>
        <v>0</v>
      </c>
      <c r="AH121" s="96">
        <f t="shared" si="60"/>
        <v>0</v>
      </c>
      <c r="AI121" s="96">
        <f t="shared" si="60"/>
        <v>0</v>
      </c>
      <c r="AJ121" s="96">
        <f t="shared" si="60"/>
        <v>0</v>
      </c>
      <c r="AK121" s="96">
        <f t="shared" si="60"/>
        <v>0</v>
      </c>
      <c r="AL121" s="96">
        <f t="shared" si="60"/>
        <v>0</v>
      </c>
      <c r="AM121" s="96">
        <f t="shared" si="60"/>
        <v>0</v>
      </c>
      <c r="AN121" s="96">
        <f t="shared" si="60"/>
        <v>0</v>
      </c>
      <c r="AO121" s="96">
        <f t="shared" si="60"/>
        <v>0</v>
      </c>
      <c r="AP121" s="96">
        <f t="shared" si="60"/>
        <v>0</v>
      </c>
      <c r="AQ121" s="96">
        <f t="shared" si="60"/>
        <v>0</v>
      </c>
      <c r="AR121" s="96">
        <f t="shared" si="60"/>
        <v>0</v>
      </c>
      <c r="AS121" s="96">
        <f t="shared" si="60"/>
        <v>0</v>
      </c>
      <c r="AT121" s="96">
        <f t="shared" si="60"/>
        <v>0</v>
      </c>
      <c r="AU121" s="96">
        <f t="shared" si="60"/>
        <v>0</v>
      </c>
      <c r="AV121" s="96">
        <f t="shared" si="60"/>
        <v>0</v>
      </c>
      <c r="AW121" s="96">
        <f t="shared" si="60"/>
        <v>0</v>
      </c>
      <c r="AX121" s="96">
        <f t="shared" si="60"/>
        <v>0</v>
      </c>
      <c r="AY121" s="96">
        <f t="shared" si="60"/>
        <v>0</v>
      </c>
      <c r="AZ121" s="96">
        <f t="shared" si="60"/>
        <v>0</v>
      </c>
      <c r="BA121" s="96">
        <f t="shared" si="60"/>
        <v>0</v>
      </c>
      <c r="BB121" s="96">
        <f t="shared" si="60"/>
        <v>0</v>
      </c>
      <c r="BC121" s="96">
        <f t="shared" si="60"/>
        <v>0</v>
      </c>
      <c r="BD121" s="96">
        <f t="shared" si="60"/>
        <v>0</v>
      </c>
      <c r="BE121" s="96">
        <f t="shared" si="60"/>
        <v>0</v>
      </c>
      <c r="BF121" s="96">
        <f t="shared" si="60"/>
        <v>0</v>
      </c>
      <c r="BG121" s="96">
        <f t="shared" si="60"/>
        <v>0</v>
      </c>
      <c r="BH121" s="96">
        <f t="shared" si="60"/>
        <v>0</v>
      </c>
      <c r="BI121" s="92"/>
    </row>
    <row r="122" spans="1:61" s="72" customFormat="1" hidden="1" x14ac:dyDescent="0.2">
      <c r="A122" s="158" t="s">
        <v>567</v>
      </c>
      <c r="B122" s="159"/>
      <c r="C122" s="97" t="e">
        <f xml:space="preserve"> C120 * C121</f>
        <v>#REF!</v>
      </c>
      <c r="D122" s="97" t="e">
        <f t="shared" ref="D122:H122" si="61" xml:space="preserve"> D120 * D121</f>
        <v>#REF!</v>
      </c>
      <c r="E122" s="97" t="e">
        <f t="shared" si="61"/>
        <v>#REF!</v>
      </c>
      <c r="F122" s="97" t="e">
        <f t="shared" si="61"/>
        <v>#REF!</v>
      </c>
      <c r="G122" s="97" t="e">
        <f t="shared" si="61"/>
        <v>#REF!</v>
      </c>
      <c r="H122" s="97" t="e">
        <f t="shared" si="61"/>
        <v>#REF!</v>
      </c>
      <c r="I122" s="97" t="e">
        <f xml:space="preserve"> I120 * I121</f>
        <v>#REF!</v>
      </c>
      <c r="J122" s="97" t="e">
        <f t="shared" ref="J122:BH122" si="62" xml:space="preserve"> J120 * J121</f>
        <v>#REF!</v>
      </c>
      <c r="K122" s="97" t="e">
        <f t="shared" si="62"/>
        <v>#REF!</v>
      </c>
      <c r="L122" s="97" t="e">
        <f t="shared" si="62"/>
        <v>#REF!</v>
      </c>
      <c r="M122" s="97" t="e">
        <f t="shared" si="62"/>
        <v>#REF!</v>
      </c>
      <c r="N122" s="97" t="e">
        <f t="shared" si="62"/>
        <v>#REF!</v>
      </c>
      <c r="O122" s="97" t="e">
        <f t="shared" si="62"/>
        <v>#REF!</v>
      </c>
      <c r="P122" s="97" t="e">
        <f t="shared" si="62"/>
        <v>#REF!</v>
      </c>
      <c r="Q122" s="97" t="e">
        <f t="shared" si="62"/>
        <v>#REF!</v>
      </c>
      <c r="R122" s="97" t="e">
        <f t="shared" si="62"/>
        <v>#REF!</v>
      </c>
      <c r="S122" s="97" t="e">
        <f t="shared" si="62"/>
        <v>#REF!</v>
      </c>
      <c r="T122" s="97" t="e">
        <f t="shared" si="62"/>
        <v>#REF!</v>
      </c>
      <c r="U122" s="97" t="e">
        <f t="shared" si="62"/>
        <v>#REF!</v>
      </c>
      <c r="V122" s="97" t="e">
        <f t="shared" si="62"/>
        <v>#REF!</v>
      </c>
      <c r="W122" s="97" t="e">
        <f t="shared" si="62"/>
        <v>#REF!</v>
      </c>
      <c r="X122" s="97" t="e">
        <f t="shared" si="62"/>
        <v>#REF!</v>
      </c>
      <c r="Y122" s="97" t="e">
        <f t="shared" si="62"/>
        <v>#REF!</v>
      </c>
      <c r="Z122" s="97" t="e">
        <f t="shared" si="62"/>
        <v>#REF!</v>
      </c>
      <c r="AA122" s="97" t="e">
        <f t="shared" si="62"/>
        <v>#REF!</v>
      </c>
      <c r="AB122" s="97" t="e">
        <f t="shared" si="62"/>
        <v>#REF!</v>
      </c>
      <c r="AC122" s="97" t="e">
        <f t="shared" si="62"/>
        <v>#REF!</v>
      </c>
      <c r="AD122" s="97" t="e">
        <f t="shared" si="62"/>
        <v>#REF!</v>
      </c>
      <c r="AE122" s="97" t="e">
        <f t="shared" si="62"/>
        <v>#REF!</v>
      </c>
      <c r="AF122" s="97" t="e">
        <f t="shared" si="62"/>
        <v>#REF!</v>
      </c>
      <c r="AG122" s="97" t="e">
        <f t="shared" si="62"/>
        <v>#REF!</v>
      </c>
      <c r="AH122" s="97" t="e">
        <f t="shared" si="62"/>
        <v>#REF!</v>
      </c>
      <c r="AI122" s="97" t="e">
        <f t="shared" si="62"/>
        <v>#REF!</v>
      </c>
      <c r="AJ122" s="97" t="e">
        <f t="shared" si="62"/>
        <v>#REF!</v>
      </c>
      <c r="AK122" s="97" t="e">
        <f t="shared" si="62"/>
        <v>#REF!</v>
      </c>
      <c r="AL122" s="97" t="e">
        <f t="shared" si="62"/>
        <v>#REF!</v>
      </c>
      <c r="AM122" s="97" t="e">
        <f t="shared" si="62"/>
        <v>#REF!</v>
      </c>
      <c r="AN122" s="97" t="e">
        <f t="shared" si="62"/>
        <v>#REF!</v>
      </c>
      <c r="AO122" s="97" t="e">
        <f t="shared" si="62"/>
        <v>#REF!</v>
      </c>
      <c r="AP122" s="97" t="e">
        <f t="shared" si="62"/>
        <v>#REF!</v>
      </c>
      <c r="AQ122" s="97" t="e">
        <f t="shared" si="62"/>
        <v>#REF!</v>
      </c>
      <c r="AR122" s="97" t="e">
        <f t="shared" si="62"/>
        <v>#REF!</v>
      </c>
      <c r="AS122" s="97" t="e">
        <f t="shared" si="62"/>
        <v>#REF!</v>
      </c>
      <c r="AT122" s="97" t="e">
        <f t="shared" si="62"/>
        <v>#REF!</v>
      </c>
      <c r="AU122" s="97" t="e">
        <f t="shared" si="62"/>
        <v>#REF!</v>
      </c>
      <c r="AV122" s="97" t="e">
        <f t="shared" si="62"/>
        <v>#REF!</v>
      </c>
      <c r="AW122" s="97" t="e">
        <f t="shared" si="62"/>
        <v>#REF!</v>
      </c>
      <c r="AX122" s="97" t="e">
        <f t="shared" si="62"/>
        <v>#REF!</v>
      </c>
      <c r="AY122" s="97" t="e">
        <f t="shared" si="62"/>
        <v>#REF!</v>
      </c>
      <c r="AZ122" s="97" t="e">
        <f t="shared" si="62"/>
        <v>#REF!</v>
      </c>
      <c r="BA122" s="97" t="e">
        <f t="shared" si="62"/>
        <v>#REF!</v>
      </c>
      <c r="BB122" s="97" t="e">
        <f t="shared" si="62"/>
        <v>#REF!</v>
      </c>
      <c r="BC122" s="97" t="e">
        <f t="shared" si="62"/>
        <v>#REF!</v>
      </c>
      <c r="BD122" s="97" t="e">
        <f t="shared" si="62"/>
        <v>#REF!</v>
      </c>
      <c r="BE122" s="97" t="e">
        <f t="shared" si="62"/>
        <v>#REF!</v>
      </c>
      <c r="BF122" s="97" t="e">
        <f t="shared" si="62"/>
        <v>#REF!</v>
      </c>
      <c r="BG122" s="97" t="e">
        <f t="shared" si="62"/>
        <v>#REF!</v>
      </c>
      <c r="BH122" s="97" t="e">
        <f t="shared" si="62"/>
        <v>#REF!</v>
      </c>
      <c r="BI122" s="81"/>
    </row>
    <row r="123" spans="1:61" s="87" customFormat="1" x14ac:dyDescent="0.2">
      <c r="A123" s="87" t="s">
        <v>583</v>
      </c>
      <c r="B123" s="169"/>
      <c r="C123" s="89" t="e">
        <f xml:space="preserve"> 1.25 * C118</f>
        <v>#REF!</v>
      </c>
      <c r="D123" s="89" t="e">
        <f t="shared" ref="D123:BH123" si="63" xml:space="preserve"> 1.25 * D118</f>
        <v>#REF!</v>
      </c>
      <c r="E123" s="89" t="e">
        <f t="shared" si="63"/>
        <v>#REF!</v>
      </c>
      <c r="F123" s="89" t="e">
        <f t="shared" si="63"/>
        <v>#REF!</v>
      </c>
      <c r="G123" s="89" t="e">
        <f t="shared" si="63"/>
        <v>#REF!</v>
      </c>
      <c r="H123" s="89" t="e">
        <f t="shared" si="63"/>
        <v>#REF!</v>
      </c>
      <c r="I123" s="89" t="e">
        <f t="shared" si="63"/>
        <v>#REF!</v>
      </c>
      <c r="J123" s="89" t="e">
        <f t="shared" si="63"/>
        <v>#REF!</v>
      </c>
      <c r="K123" s="89" t="e">
        <f t="shared" si="63"/>
        <v>#REF!</v>
      </c>
      <c r="L123" s="89" t="e">
        <f t="shared" si="63"/>
        <v>#REF!</v>
      </c>
      <c r="M123" s="89" t="e">
        <f t="shared" si="63"/>
        <v>#REF!</v>
      </c>
      <c r="N123" s="89" t="e">
        <f t="shared" si="63"/>
        <v>#REF!</v>
      </c>
      <c r="O123" s="89" t="e">
        <f t="shared" si="63"/>
        <v>#REF!</v>
      </c>
      <c r="P123" s="89" t="e">
        <f t="shared" si="63"/>
        <v>#REF!</v>
      </c>
      <c r="Q123" s="89" t="e">
        <f t="shared" si="63"/>
        <v>#REF!</v>
      </c>
      <c r="R123" s="89" t="e">
        <f t="shared" si="63"/>
        <v>#REF!</v>
      </c>
      <c r="S123" s="89" t="e">
        <f t="shared" si="63"/>
        <v>#REF!</v>
      </c>
      <c r="T123" s="89" t="e">
        <f t="shared" si="63"/>
        <v>#REF!</v>
      </c>
      <c r="U123" s="89" t="e">
        <f t="shared" si="63"/>
        <v>#REF!</v>
      </c>
      <c r="V123" s="89" t="e">
        <f t="shared" si="63"/>
        <v>#REF!</v>
      </c>
      <c r="W123" s="89" t="e">
        <f t="shared" si="63"/>
        <v>#REF!</v>
      </c>
      <c r="X123" s="89" t="e">
        <f t="shared" si="63"/>
        <v>#REF!</v>
      </c>
      <c r="Y123" s="89" t="e">
        <f t="shared" si="63"/>
        <v>#REF!</v>
      </c>
      <c r="Z123" s="89" t="e">
        <f t="shared" si="63"/>
        <v>#REF!</v>
      </c>
      <c r="AA123" s="89" t="e">
        <f t="shared" si="63"/>
        <v>#REF!</v>
      </c>
      <c r="AB123" s="89" t="e">
        <f t="shared" si="63"/>
        <v>#REF!</v>
      </c>
      <c r="AC123" s="89" t="e">
        <f t="shared" si="63"/>
        <v>#REF!</v>
      </c>
      <c r="AD123" s="89" t="e">
        <f t="shared" si="63"/>
        <v>#REF!</v>
      </c>
      <c r="AE123" s="89" t="e">
        <f t="shared" si="63"/>
        <v>#REF!</v>
      </c>
      <c r="AF123" s="89" t="e">
        <f t="shared" si="63"/>
        <v>#REF!</v>
      </c>
      <c r="AG123" s="89" t="e">
        <f t="shared" si="63"/>
        <v>#REF!</v>
      </c>
      <c r="AH123" s="89" t="e">
        <f t="shared" si="63"/>
        <v>#REF!</v>
      </c>
      <c r="AI123" s="89" t="e">
        <f t="shared" si="63"/>
        <v>#REF!</v>
      </c>
      <c r="AJ123" s="89" t="e">
        <f t="shared" si="63"/>
        <v>#REF!</v>
      </c>
      <c r="AK123" s="89" t="e">
        <f t="shared" si="63"/>
        <v>#REF!</v>
      </c>
      <c r="AL123" s="89" t="e">
        <f t="shared" si="63"/>
        <v>#REF!</v>
      </c>
      <c r="AM123" s="89" t="e">
        <f t="shared" si="63"/>
        <v>#REF!</v>
      </c>
      <c r="AN123" s="89" t="e">
        <f t="shared" si="63"/>
        <v>#REF!</v>
      </c>
      <c r="AO123" s="89" t="e">
        <f t="shared" si="63"/>
        <v>#REF!</v>
      </c>
      <c r="AP123" s="89" t="e">
        <f t="shared" si="63"/>
        <v>#REF!</v>
      </c>
      <c r="AQ123" s="89" t="e">
        <f t="shared" si="63"/>
        <v>#REF!</v>
      </c>
      <c r="AR123" s="89" t="e">
        <f t="shared" si="63"/>
        <v>#REF!</v>
      </c>
      <c r="AS123" s="89" t="e">
        <f t="shared" si="63"/>
        <v>#REF!</v>
      </c>
      <c r="AT123" s="89" t="e">
        <f t="shared" si="63"/>
        <v>#REF!</v>
      </c>
      <c r="AU123" s="89" t="e">
        <f t="shared" si="63"/>
        <v>#REF!</v>
      </c>
      <c r="AV123" s="89" t="e">
        <f t="shared" si="63"/>
        <v>#REF!</v>
      </c>
      <c r="AW123" s="89" t="e">
        <f t="shared" si="63"/>
        <v>#REF!</v>
      </c>
      <c r="AX123" s="89" t="e">
        <f t="shared" si="63"/>
        <v>#REF!</v>
      </c>
      <c r="AY123" s="89" t="e">
        <f t="shared" si="63"/>
        <v>#REF!</v>
      </c>
      <c r="AZ123" s="89" t="e">
        <f t="shared" si="63"/>
        <v>#REF!</v>
      </c>
      <c r="BA123" s="89" t="e">
        <f t="shared" si="63"/>
        <v>#REF!</v>
      </c>
      <c r="BB123" s="89" t="e">
        <f t="shared" si="63"/>
        <v>#REF!</v>
      </c>
      <c r="BC123" s="89" t="e">
        <f t="shared" si="63"/>
        <v>#REF!</v>
      </c>
      <c r="BD123" s="89" t="e">
        <f t="shared" si="63"/>
        <v>#REF!</v>
      </c>
      <c r="BE123" s="89" t="e">
        <f t="shared" si="63"/>
        <v>#REF!</v>
      </c>
      <c r="BF123" s="89" t="e">
        <f t="shared" si="63"/>
        <v>#REF!</v>
      </c>
      <c r="BG123" s="89" t="e">
        <f t="shared" si="63"/>
        <v>#REF!</v>
      </c>
      <c r="BH123" s="89" t="e">
        <f t="shared" si="63"/>
        <v>#REF!</v>
      </c>
      <c r="BI123" s="170"/>
    </row>
    <row r="124" spans="1:61" s="79" customFormat="1" x14ac:dyDescent="0.2">
      <c r="A124" s="103"/>
      <c r="B124" s="130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80"/>
    </row>
    <row r="125" spans="1:61" s="91" customFormat="1" x14ac:dyDescent="0.2">
      <c r="A125" s="99" t="s">
        <v>588</v>
      </c>
      <c r="B125" s="127"/>
      <c r="C125" s="90" t="e">
        <f t="shared" ref="C125:L125" si="64" xml:space="preserve"> C51 + C120</f>
        <v>#REF!</v>
      </c>
      <c r="D125" s="90" t="e">
        <f t="shared" si="64"/>
        <v>#REF!</v>
      </c>
      <c r="E125" s="90" t="e">
        <f t="shared" si="64"/>
        <v>#REF!</v>
      </c>
      <c r="F125" s="90" t="e">
        <f t="shared" si="64"/>
        <v>#REF!</v>
      </c>
      <c r="G125" s="90" t="e">
        <f t="shared" si="64"/>
        <v>#REF!</v>
      </c>
      <c r="H125" s="90" t="e">
        <f t="shared" si="64"/>
        <v>#REF!</v>
      </c>
      <c r="I125" s="90" t="e">
        <f t="shared" si="64"/>
        <v>#REF!</v>
      </c>
      <c r="J125" s="90" t="e">
        <f t="shared" si="64"/>
        <v>#REF!</v>
      </c>
      <c r="K125" s="90" t="e">
        <f t="shared" si="64"/>
        <v>#REF!</v>
      </c>
      <c r="L125" s="90" t="e">
        <f t="shared" si="64"/>
        <v>#REF!</v>
      </c>
      <c r="M125" s="90" t="e">
        <f xml:space="preserve">  M120</f>
        <v>#REF!</v>
      </c>
      <c r="N125" s="90" t="e">
        <f t="shared" ref="N125:BH125" si="65" xml:space="preserve">  N120</f>
        <v>#REF!</v>
      </c>
      <c r="O125" s="90" t="e">
        <f t="shared" si="65"/>
        <v>#REF!</v>
      </c>
      <c r="P125" s="90" t="e">
        <f t="shared" si="65"/>
        <v>#REF!</v>
      </c>
      <c r="Q125" s="90" t="e">
        <f t="shared" si="65"/>
        <v>#REF!</v>
      </c>
      <c r="R125" s="90" t="e">
        <f t="shared" si="65"/>
        <v>#REF!</v>
      </c>
      <c r="S125" s="90" t="e">
        <f t="shared" si="65"/>
        <v>#REF!</v>
      </c>
      <c r="T125" s="90" t="e">
        <f t="shared" si="65"/>
        <v>#REF!</v>
      </c>
      <c r="U125" s="90" t="e">
        <f t="shared" si="65"/>
        <v>#REF!</v>
      </c>
      <c r="V125" s="90" t="e">
        <f t="shared" si="65"/>
        <v>#REF!</v>
      </c>
      <c r="W125" s="90" t="e">
        <f t="shared" si="65"/>
        <v>#REF!</v>
      </c>
      <c r="X125" s="90" t="e">
        <f t="shared" si="65"/>
        <v>#REF!</v>
      </c>
      <c r="Y125" s="90" t="e">
        <f t="shared" si="65"/>
        <v>#REF!</v>
      </c>
      <c r="Z125" s="90" t="e">
        <f t="shared" si="65"/>
        <v>#REF!</v>
      </c>
      <c r="AA125" s="90" t="e">
        <f t="shared" si="65"/>
        <v>#REF!</v>
      </c>
      <c r="AB125" s="90" t="e">
        <f t="shared" si="65"/>
        <v>#REF!</v>
      </c>
      <c r="AC125" s="90" t="e">
        <f t="shared" si="65"/>
        <v>#REF!</v>
      </c>
      <c r="AD125" s="90" t="e">
        <f t="shared" si="65"/>
        <v>#REF!</v>
      </c>
      <c r="AE125" s="90" t="e">
        <f t="shared" si="65"/>
        <v>#REF!</v>
      </c>
      <c r="AF125" s="90" t="e">
        <f t="shared" si="65"/>
        <v>#REF!</v>
      </c>
      <c r="AG125" s="90" t="e">
        <f t="shared" si="65"/>
        <v>#REF!</v>
      </c>
      <c r="AH125" s="90" t="e">
        <f t="shared" si="65"/>
        <v>#REF!</v>
      </c>
      <c r="AI125" s="90" t="e">
        <f t="shared" si="65"/>
        <v>#REF!</v>
      </c>
      <c r="AJ125" s="90" t="e">
        <f t="shared" si="65"/>
        <v>#REF!</v>
      </c>
      <c r="AK125" s="90" t="e">
        <f t="shared" si="65"/>
        <v>#REF!</v>
      </c>
      <c r="AL125" s="90" t="e">
        <f t="shared" si="65"/>
        <v>#REF!</v>
      </c>
      <c r="AM125" s="90" t="e">
        <f t="shared" si="65"/>
        <v>#REF!</v>
      </c>
      <c r="AN125" s="90" t="e">
        <f t="shared" si="65"/>
        <v>#REF!</v>
      </c>
      <c r="AO125" s="90" t="e">
        <f t="shared" si="65"/>
        <v>#REF!</v>
      </c>
      <c r="AP125" s="90" t="e">
        <f t="shared" si="65"/>
        <v>#REF!</v>
      </c>
      <c r="AQ125" s="90" t="e">
        <f t="shared" si="65"/>
        <v>#REF!</v>
      </c>
      <c r="AR125" s="90" t="e">
        <f t="shared" si="65"/>
        <v>#REF!</v>
      </c>
      <c r="AS125" s="90" t="e">
        <f t="shared" si="65"/>
        <v>#REF!</v>
      </c>
      <c r="AT125" s="90" t="e">
        <f t="shared" si="65"/>
        <v>#REF!</v>
      </c>
      <c r="AU125" s="90" t="e">
        <f t="shared" si="65"/>
        <v>#REF!</v>
      </c>
      <c r="AV125" s="90" t="e">
        <f t="shared" si="65"/>
        <v>#REF!</v>
      </c>
      <c r="AW125" s="90" t="e">
        <f t="shared" si="65"/>
        <v>#REF!</v>
      </c>
      <c r="AX125" s="90" t="e">
        <f t="shared" si="65"/>
        <v>#REF!</v>
      </c>
      <c r="AY125" s="90" t="e">
        <f t="shared" si="65"/>
        <v>#REF!</v>
      </c>
      <c r="AZ125" s="90" t="e">
        <f t="shared" si="65"/>
        <v>#REF!</v>
      </c>
      <c r="BA125" s="90" t="e">
        <f t="shared" si="65"/>
        <v>#REF!</v>
      </c>
      <c r="BB125" s="90" t="e">
        <f t="shared" si="65"/>
        <v>#REF!</v>
      </c>
      <c r="BC125" s="90" t="e">
        <f t="shared" si="65"/>
        <v>#REF!</v>
      </c>
      <c r="BD125" s="90" t="e">
        <f t="shared" si="65"/>
        <v>#REF!</v>
      </c>
      <c r="BE125" s="90" t="e">
        <f t="shared" si="65"/>
        <v>#REF!</v>
      </c>
      <c r="BF125" s="90" t="e">
        <f t="shared" si="65"/>
        <v>#REF!</v>
      </c>
      <c r="BG125" s="90" t="e">
        <f t="shared" si="65"/>
        <v>#REF!</v>
      </c>
      <c r="BH125" s="90" t="e">
        <f t="shared" si="65"/>
        <v>#REF!</v>
      </c>
      <c r="BI125" s="93"/>
    </row>
    <row r="126" spans="1:61" s="100" customFormat="1" x14ac:dyDescent="0.2">
      <c r="A126" s="105" t="s">
        <v>594</v>
      </c>
      <c r="B126" s="131"/>
      <c r="C126" s="101" t="e">
        <f xml:space="preserve"> C120/68*12</f>
        <v>#REF!</v>
      </c>
      <c r="D126" s="101" t="e">
        <f t="shared" ref="D126:BH126" si="66" xml:space="preserve"> D120/68*12</f>
        <v>#REF!</v>
      </c>
      <c r="E126" s="101" t="e">
        <f t="shared" si="66"/>
        <v>#REF!</v>
      </c>
      <c r="F126" s="101" t="e">
        <f t="shared" si="66"/>
        <v>#REF!</v>
      </c>
      <c r="G126" s="101" t="e">
        <f t="shared" si="66"/>
        <v>#REF!</v>
      </c>
      <c r="H126" s="101" t="e">
        <f t="shared" si="66"/>
        <v>#REF!</v>
      </c>
      <c r="I126" s="101" t="e">
        <f t="shared" si="66"/>
        <v>#REF!</v>
      </c>
      <c r="J126" s="101" t="e">
        <f t="shared" si="66"/>
        <v>#REF!</v>
      </c>
      <c r="K126" s="101" t="e">
        <f t="shared" si="66"/>
        <v>#REF!</v>
      </c>
      <c r="L126" s="101" t="e">
        <f t="shared" si="66"/>
        <v>#REF!</v>
      </c>
      <c r="M126" s="101" t="e">
        <f t="shared" si="66"/>
        <v>#REF!</v>
      </c>
      <c r="N126" s="101" t="e">
        <f t="shared" si="66"/>
        <v>#REF!</v>
      </c>
      <c r="O126" s="101" t="e">
        <f t="shared" si="66"/>
        <v>#REF!</v>
      </c>
      <c r="P126" s="101" t="e">
        <f t="shared" si="66"/>
        <v>#REF!</v>
      </c>
      <c r="Q126" s="101" t="e">
        <f t="shared" si="66"/>
        <v>#REF!</v>
      </c>
      <c r="R126" s="101" t="e">
        <f t="shared" si="66"/>
        <v>#REF!</v>
      </c>
      <c r="S126" s="101" t="e">
        <f t="shared" si="66"/>
        <v>#REF!</v>
      </c>
      <c r="T126" s="101" t="e">
        <f t="shared" si="66"/>
        <v>#REF!</v>
      </c>
      <c r="U126" s="101" t="e">
        <f t="shared" si="66"/>
        <v>#REF!</v>
      </c>
      <c r="V126" s="101" t="e">
        <f t="shared" si="66"/>
        <v>#REF!</v>
      </c>
      <c r="W126" s="101" t="e">
        <f t="shared" si="66"/>
        <v>#REF!</v>
      </c>
      <c r="X126" s="101" t="e">
        <f t="shared" si="66"/>
        <v>#REF!</v>
      </c>
      <c r="Y126" s="101" t="e">
        <f t="shared" si="66"/>
        <v>#REF!</v>
      </c>
      <c r="Z126" s="101" t="e">
        <f t="shared" si="66"/>
        <v>#REF!</v>
      </c>
      <c r="AA126" s="101" t="e">
        <f t="shared" si="66"/>
        <v>#REF!</v>
      </c>
      <c r="AB126" s="101" t="e">
        <f t="shared" si="66"/>
        <v>#REF!</v>
      </c>
      <c r="AC126" s="101" t="e">
        <f t="shared" si="66"/>
        <v>#REF!</v>
      </c>
      <c r="AD126" s="101" t="e">
        <f t="shared" si="66"/>
        <v>#REF!</v>
      </c>
      <c r="AE126" s="101" t="e">
        <f t="shared" si="66"/>
        <v>#REF!</v>
      </c>
      <c r="AF126" s="101" t="e">
        <f t="shared" si="66"/>
        <v>#REF!</v>
      </c>
      <c r="AG126" s="101" t="e">
        <f t="shared" si="66"/>
        <v>#REF!</v>
      </c>
      <c r="AH126" s="101" t="e">
        <f t="shared" si="66"/>
        <v>#REF!</v>
      </c>
      <c r="AI126" s="101" t="e">
        <f t="shared" si="66"/>
        <v>#REF!</v>
      </c>
      <c r="AJ126" s="101" t="e">
        <f t="shared" si="66"/>
        <v>#REF!</v>
      </c>
      <c r="AK126" s="101" t="e">
        <f t="shared" si="66"/>
        <v>#REF!</v>
      </c>
      <c r="AL126" s="101" t="e">
        <f t="shared" si="66"/>
        <v>#REF!</v>
      </c>
      <c r="AM126" s="101" t="e">
        <f t="shared" si="66"/>
        <v>#REF!</v>
      </c>
      <c r="AN126" s="101" t="e">
        <f t="shared" si="66"/>
        <v>#REF!</v>
      </c>
      <c r="AO126" s="101" t="e">
        <f t="shared" si="66"/>
        <v>#REF!</v>
      </c>
      <c r="AP126" s="101" t="e">
        <f t="shared" si="66"/>
        <v>#REF!</v>
      </c>
      <c r="AQ126" s="101" t="e">
        <f t="shared" si="66"/>
        <v>#REF!</v>
      </c>
      <c r="AR126" s="101" t="e">
        <f t="shared" si="66"/>
        <v>#REF!</v>
      </c>
      <c r="AS126" s="101" t="e">
        <f t="shared" si="66"/>
        <v>#REF!</v>
      </c>
      <c r="AT126" s="101" t="e">
        <f t="shared" si="66"/>
        <v>#REF!</v>
      </c>
      <c r="AU126" s="101" t="e">
        <f t="shared" si="66"/>
        <v>#REF!</v>
      </c>
      <c r="AV126" s="101" t="e">
        <f t="shared" si="66"/>
        <v>#REF!</v>
      </c>
      <c r="AW126" s="101" t="e">
        <f t="shared" si="66"/>
        <v>#REF!</v>
      </c>
      <c r="AX126" s="101" t="e">
        <f t="shared" si="66"/>
        <v>#REF!</v>
      </c>
      <c r="AY126" s="101" t="e">
        <f t="shared" si="66"/>
        <v>#REF!</v>
      </c>
      <c r="AZ126" s="101" t="e">
        <f t="shared" si="66"/>
        <v>#REF!</v>
      </c>
      <c r="BA126" s="101" t="e">
        <f t="shared" si="66"/>
        <v>#REF!</v>
      </c>
      <c r="BB126" s="101" t="e">
        <f t="shared" si="66"/>
        <v>#REF!</v>
      </c>
      <c r="BC126" s="101" t="e">
        <f t="shared" si="66"/>
        <v>#REF!</v>
      </c>
      <c r="BD126" s="101" t="e">
        <f t="shared" si="66"/>
        <v>#REF!</v>
      </c>
      <c r="BE126" s="101" t="e">
        <f t="shared" si="66"/>
        <v>#REF!</v>
      </c>
      <c r="BF126" s="101" t="e">
        <f t="shared" si="66"/>
        <v>#REF!</v>
      </c>
      <c r="BG126" s="101" t="e">
        <f t="shared" si="66"/>
        <v>#REF!</v>
      </c>
      <c r="BH126" s="101" t="e">
        <f t="shared" si="66"/>
        <v>#REF!</v>
      </c>
      <c r="BI126" s="102"/>
    </row>
    <row r="127" spans="1:61" s="119" customFormat="1" x14ac:dyDescent="0.2">
      <c r="A127" s="116" t="s">
        <v>564</v>
      </c>
      <c r="B127" s="132"/>
      <c r="C127" s="117" t="e">
        <f t="shared" ref="C127:BH127" si="67" xml:space="preserve"> C31 + C83 + C126 + 640 *  C110</f>
        <v>#REF!</v>
      </c>
      <c r="D127" s="117" t="e">
        <f t="shared" si="67"/>
        <v>#REF!</v>
      </c>
      <c r="E127" s="117" t="e">
        <f t="shared" si="67"/>
        <v>#REF!</v>
      </c>
      <c r="F127" s="117" t="e">
        <f xml:space="preserve"> F31 + F83 + F126 + 640 *  F110</f>
        <v>#REF!</v>
      </c>
      <c r="G127" s="117" t="e">
        <f t="shared" si="67"/>
        <v>#REF!</v>
      </c>
      <c r="H127" s="117" t="e">
        <f t="shared" si="67"/>
        <v>#REF!</v>
      </c>
      <c r="I127" s="117" t="e">
        <f t="shared" si="67"/>
        <v>#REF!</v>
      </c>
      <c r="J127" s="117" t="e">
        <f t="shared" si="67"/>
        <v>#REF!</v>
      </c>
      <c r="K127" s="117" t="e">
        <f t="shared" si="67"/>
        <v>#REF!</v>
      </c>
      <c r="L127" s="117" t="e">
        <f t="shared" si="67"/>
        <v>#REF!</v>
      </c>
      <c r="M127" s="117" t="e">
        <f t="shared" si="67"/>
        <v>#REF!</v>
      </c>
      <c r="N127" s="117" t="e">
        <f t="shared" si="67"/>
        <v>#REF!</v>
      </c>
      <c r="O127" s="117" t="e">
        <f t="shared" si="67"/>
        <v>#REF!</v>
      </c>
      <c r="P127" s="117" t="e">
        <f t="shared" si="67"/>
        <v>#REF!</v>
      </c>
      <c r="Q127" s="117" t="e">
        <f t="shared" si="67"/>
        <v>#REF!</v>
      </c>
      <c r="R127" s="117" t="e">
        <f t="shared" si="67"/>
        <v>#REF!</v>
      </c>
      <c r="S127" s="117" t="e">
        <f t="shared" si="67"/>
        <v>#REF!</v>
      </c>
      <c r="T127" s="117" t="e">
        <f t="shared" si="67"/>
        <v>#REF!</v>
      </c>
      <c r="U127" s="117" t="e">
        <f t="shared" si="67"/>
        <v>#REF!</v>
      </c>
      <c r="V127" s="117" t="e">
        <f t="shared" si="67"/>
        <v>#REF!</v>
      </c>
      <c r="W127" s="117" t="e">
        <f t="shared" si="67"/>
        <v>#REF!</v>
      </c>
      <c r="X127" s="117" t="e">
        <f t="shared" si="67"/>
        <v>#REF!</v>
      </c>
      <c r="Y127" s="117" t="e">
        <f t="shared" si="67"/>
        <v>#REF!</v>
      </c>
      <c r="Z127" s="117" t="e">
        <f t="shared" si="67"/>
        <v>#REF!</v>
      </c>
      <c r="AA127" s="117" t="e">
        <f t="shared" si="67"/>
        <v>#REF!</v>
      </c>
      <c r="AB127" s="117" t="e">
        <f t="shared" si="67"/>
        <v>#REF!</v>
      </c>
      <c r="AC127" s="117" t="e">
        <f t="shared" si="67"/>
        <v>#REF!</v>
      </c>
      <c r="AD127" s="117" t="e">
        <f t="shared" si="67"/>
        <v>#REF!</v>
      </c>
      <c r="AE127" s="117" t="e">
        <f t="shared" si="67"/>
        <v>#REF!</v>
      </c>
      <c r="AF127" s="117" t="e">
        <f t="shared" si="67"/>
        <v>#REF!</v>
      </c>
      <c r="AG127" s="117" t="e">
        <f t="shared" si="67"/>
        <v>#REF!</v>
      </c>
      <c r="AH127" s="117" t="e">
        <f t="shared" si="67"/>
        <v>#REF!</v>
      </c>
      <c r="AI127" s="117" t="e">
        <f t="shared" si="67"/>
        <v>#REF!</v>
      </c>
      <c r="AJ127" s="117" t="e">
        <f t="shared" si="67"/>
        <v>#REF!</v>
      </c>
      <c r="AK127" s="117" t="e">
        <f t="shared" si="67"/>
        <v>#REF!</v>
      </c>
      <c r="AL127" s="117" t="e">
        <f t="shared" si="67"/>
        <v>#REF!</v>
      </c>
      <c r="AM127" s="117" t="e">
        <f t="shared" si="67"/>
        <v>#REF!</v>
      </c>
      <c r="AN127" s="117" t="e">
        <f t="shared" si="67"/>
        <v>#REF!</v>
      </c>
      <c r="AO127" s="117" t="e">
        <f t="shared" si="67"/>
        <v>#REF!</v>
      </c>
      <c r="AP127" s="117" t="e">
        <f t="shared" si="67"/>
        <v>#REF!</v>
      </c>
      <c r="AQ127" s="117" t="e">
        <f t="shared" si="67"/>
        <v>#REF!</v>
      </c>
      <c r="AR127" s="117" t="e">
        <f t="shared" si="67"/>
        <v>#REF!</v>
      </c>
      <c r="AS127" s="117" t="e">
        <f t="shared" si="67"/>
        <v>#REF!</v>
      </c>
      <c r="AT127" s="117" t="e">
        <f t="shared" si="67"/>
        <v>#REF!</v>
      </c>
      <c r="AU127" s="117" t="e">
        <f t="shared" si="67"/>
        <v>#REF!</v>
      </c>
      <c r="AV127" s="117" t="e">
        <f t="shared" si="67"/>
        <v>#REF!</v>
      </c>
      <c r="AW127" s="117" t="e">
        <f t="shared" si="67"/>
        <v>#REF!</v>
      </c>
      <c r="AX127" s="117" t="e">
        <f t="shared" si="67"/>
        <v>#REF!</v>
      </c>
      <c r="AY127" s="117" t="e">
        <f t="shared" si="67"/>
        <v>#REF!</v>
      </c>
      <c r="AZ127" s="117" t="e">
        <f t="shared" si="67"/>
        <v>#REF!</v>
      </c>
      <c r="BA127" s="117" t="e">
        <f t="shared" si="67"/>
        <v>#REF!</v>
      </c>
      <c r="BB127" s="117" t="e">
        <f t="shared" si="67"/>
        <v>#REF!</v>
      </c>
      <c r="BC127" s="117" t="e">
        <f t="shared" si="67"/>
        <v>#REF!</v>
      </c>
      <c r="BD127" s="117" t="e">
        <f t="shared" si="67"/>
        <v>#REF!</v>
      </c>
      <c r="BE127" s="117" t="e">
        <f t="shared" si="67"/>
        <v>#REF!</v>
      </c>
      <c r="BF127" s="117" t="e">
        <f t="shared" si="67"/>
        <v>#REF!</v>
      </c>
      <c r="BG127" s="117" t="e">
        <f t="shared" si="67"/>
        <v>#REF!</v>
      </c>
      <c r="BH127" s="117" t="e">
        <f t="shared" si="67"/>
        <v>#REF!</v>
      </c>
      <c r="BI127" s="118"/>
    </row>
    <row r="128" spans="1:61" s="87" customFormat="1" x14ac:dyDescent="0.2">
      <c r="A128" s="168" t="s">
        <v>585</v>
      </c>
      <c r="B128" s="171"/>
      <c r="C128" s="89" t="e">
        <f xml:space="preserve"> C55 + C123</f>
        <v>#REF!</v>
      </c>
      <c r="D128" s="89" t="e">
        <f t="shared" ref="D128:BH128" si="68" xml:space="preserve"> D55 + D123</f>
        <v>#REF!</v>
      </c>
      <c r="E128" s="89" t="e">
        <f t="shared" si="68"/>
        <v>#REF!</v>
      </c>
      <c r="F128" s="89" t="e">
        <f xml:space="preserve"> F55 + F123</f>
        <v>#REF!</v>
      </c>
      <c r="G128" s="89" t="e">
        <f t="shared" si="68"/>
        <v>#REF!</v>
      </c>
      <c r="H128" s="89" t="e">
        <f t="shared" si="68"/>
        <v>#REF!</v>
      </c>
      <c r="I128" s="89" t="e">
        <f t="shared" si="68"/>
        <v>#REF!</v>
      </c>
      <c r="J128" s="89" t="e">
        <f t="shared" si="68"/>
        <v>#REF!</v>
      </c>
      <c r="K128" s="89" t="e">
        <f t="shared" si="68"/>
        <v>#REF!</v>
      </c>
      <c r="L128" s="89" t="e">
        <f t="shared" si="68"/>
        <v>#REF!</v>
      </c>
      <c r="M128" s="89" t="e">
        <f t="shared" si="68"/>
        <v>#REF!</v>
      </c>
      <c r="N128" s="89" t="e">
        <f t="shared" si="68"/>
        <v>#REF!</v>
      </c>
      <c r="O128" s="89" t="e">
        <f t="shared" si="68"/>
        <v>#REF!</v>
      </c>
      <c r="P128" s="89" t="e">
        <f t="shared" si="68"/>
        <v>#REF!</v>
      </c>
      <c r="Q128" s="89" t="e">
        <f t="shared" si="68"/>
        <v>#REF!</v>
      </c>
      <c r="R128" s="89" t="e">
        <f t="shared" si="68"/>
        <v>#REF!</v>
      </c>
      <c r="S128" s="89" t="e">
        <f t="shared" si="68"/>
        <v>#REF!</v>
      </c>
      <c r="T128" s="89" t="e">
        <f t="shared" si="68"/>
        <v>#REF!</v>
      </c>
      <c r="U128" s="89" t="e">
        <f t="shared" si="68"/>
        <v>#REF!</v>
      </c>
      <c r="V128" s="89" t="e">
        <f t="shared" si="68"/>
        <v>#REF!</v>
      </c>
      <c r="W128" s="89" t="e">
        <f t="shared" si="68"/>
        <v>#REF!</v>
      </c>
      <c r="X128" s="89" t="e">
        <f t="shared" si="68"/>
        <v>#REF!</v>
      </c>
      <c r="Y128" s="89" t="e">
        <f t="shared" si="68"/>
        <v>#REF!</v>
      </c>
      <c r="Z128" s="89" t="e">
        <f t="shared" si="68"/>
        <v>#REF!</v>
      </c>
      <c r="AA128" s="89" t="e">
        <f t="shared" si="68"/>
        <v>#REF!</v>
      </c>
      <c r="AB128" s="89" t="e">
        <f t="shared" si="68"/>
        <v>#REF!</v>
      </c>
      <c r="AC128" s="89" t="e">
        <f t="shared" si="68"/>
        <v>#REF!</v>
      </c>
      <c r="AD128" s="89" t="e">
        <f t="shared" si="68"/>
        <v>#REF!</v>
      </c>
      <c r="AE128" s="89" t="e">
        <f t="shared" si="68"/>
        <v>#REF!</v>
      </c>
      <c r="AF128" s="89" t="e">
        <f t="shared" si="68"/>
        <v>#REF!</v>
      </c>
      <c r="AG128" s="89" t="e">
        <f t="shared" si="68"/>
        <v>#REF!</v>
      </c>
      <c r="AH128" s="89" t="e">
        <f t="shared" si="68"/>
        <v>#REF!</v>
      </c>
      <c r="AI128" s="89" t="e">
        <f t="shared" si="68"/>
        <v>#REF!</v>
      </c>
      <c r="AJ128" s="89" t="e">
        <f t="shared" si="68"/>
        <v>#REF!</v>
      </c>
      <c r="AK128" s="89" t="e">
        <f t="shared" si="68"/>
        <v>#REF!</v>
      </c>
      <c r="AL128" s="89" t="e">
        <f t="shared" si="68"/>
        <v>#REF!</v>
      </c>
      <c r="AM128" s="89" t="e">
        <f t="shared" si="68"/>
        <v>#REF!</v>
      </c>
      <c r="AN128" s="89" t="e">
        <f t="shared" si="68"/>
        <v>#REF!</v>
      </c>
      <c r="AO128" s="89" t="e">
        <f t="shared" si="68"/>
        <v>#REF!</v>
      </c>
      <c r="AP128" s="89" t="e">
        <f t="shared" si="68"/>
        <v>#REF!</v>
      </c>
      <c r="AQ128" s="89" t="e">
        <f t="shared" si="68"/>
        <v>#REF!</v>
      </c>
      <c r="AR128" s="89" t="e">
        <f t="shared" si="68"/>
        <v>#REF!</v>
      </c>
      <c r="AS128" s="89" t="e">
        <f t="shared" si="68"/>
        <v>#REF!</v>
      </c>
      <c r="AT128" s="89" t="e">
        <f t="shared" si="68"/>
        <v>#REF!</v>
      </c>
      <c r="AU128" s="89" t="e">
        <f t="shared" si="68"/>
        <v>#REF!</v>
      </c>
      <c r="AV128" s="89" t="e">
        <f t="shared" si="68"/>
        <v>#REF!</v>
      </c>
      <c r="AW128" s="89" t="e">
        <f t="shared" si="68"/>
        <v>#REF!</v>
      </c>
      <c r="AX128" s="89" t="e">
        <f t="shared" si="68"/>
        <v>#REF!</v>
      </c>
      <c r="AY128" s="89" t="e">
        <f t="shared" si="68"/>
        <v>#REF!</v>
      </c>
      <c r="AZ128" s="89" t="e">
        <f t="shared" si="68"/>
        <v>#REF!</v>
      </c>
      <c r="BA128" s="89" t="e">
        <f t="shared" si="68"/>
        <v>#REF!</v>
      </c>
      <c r="BB128" s="89" t="e">
        <f t="shared" si="68"/>
        <v>#REF!</v>
      </c>
      <c r="BC128" s="89" t="e">
        <f t="shared" si="68"/>
        <v>#REF!</v>
      </c>
      <c r="BD128" s="89" t="e">
        <f t="shared" si="68"/>
        <v>#REF!</v>
      </c>
      <c r="BE128" s="89" t="e">
        <f t="shared" si="68"/>
        <v>#REF!</v>
      </c>
      <c r="BF128" s="89" t="e">
        <f t="shared" si="68"/>
        <v>#REF!</v>
      </c>
      <c r="BG128" s="89" t="e">
        <f t="shared" si="68"/>
        <v>#REF!</v>
      </c>
      <c r="BH128" s="89" t="e">
        <f t="shared" si="68"/>
        <v>#REF!</v>
      </c>
      <c r="BI128" s="88"/>
    </row>
    <row r="129" spans="1:61" s="109" customFormat="1" x14ac:dyDescent="0.2">
      <c r="A129" s="106" t="s">
        <v>475</v>
      </c>
      <c r="B129" s="133"/>
      <c r="C129" s="107" t="e">
        <f xml:space="preserve"> C110 *#REF! /#REF! *#REF!</f>
        <v>#REF!</v>
      </c>
      <c r="D129" s="107" t="e">
        <f xml:space="preserve"> D110 *#REF! /#REF! *#REF!</f>
        <v>#REF!</v>
      </c>
      <c r="E129" s="107" t="e">
        <f xml:space="preserve"> E110 *#REF! /#REF! *#REF!</f>
        <v>#REF!</v>
      </c>
      <c r="F129" s="107" t="e">
        <f xml:space="preserve"> F110 *#REF! /#REF! *#REF!</f>
        <v>#REF!</v>
      </c>
      <c r="G129" s="107" t="e">
        <f xml:space="preserve"> G110 *#REF! /#REF! *#REF!</f>
        <v>#REF!</v>
      </c>
      <c r="H129" s="107" t="e">
        <f xml:space="preserve"> H110 *#REF! /#REF! *#REF!</f>
        <v>#REF!</v>
      </c>
      <c r="I129" s="107" t="e">
        <f xml:space="preserve"> I110 *#REF! /#REF! *#REF!</f>
        <v>#REF!</v>
      </c>
      <c r="J129" s="107" t="e">
        <f xml:space="preserve"> J110 *#REF! /#REF! *#REF!</f>
        <v>#REF!</v>
      </c>
      <c r="K129" s="107" t="e">
        <f xml:space="preserve"> K110 *#REF! /#REF! *#REF!</f>
        <v>#REF!</v>
      </c>
      <c r="L129" s="107" t="e">
        <f xml:space="preserve"> L110 *#REF! /#REF! *#REF!</f>
        <v>#REF!</v>
      </c>
      <c r="M129" s="107" t="e">
        <f xml:space="preserve"> M110 *#REF! /#REF! *#REF!</f>
        <v>#REF!</v>
      </c>
      <c r="N129" s="107" t="e">
        <f xml:space="preserve"> N110 *#REF! /#REF! *#REF!</f>
        <v>#REF!</v>
      </c>
      <c r="O129" s="107" t="e">
        <f xml:space="preserve"> O110 *#REF! /#REF! *#REF!</f>
        <v>#REF!</v>
      </c>
      <c r="P129" s="107" t="e">
        <f xml:space="preserve"> P110 *#REF! /#REF! *#REF!</f>
        <v>#REF!</v>
      </c>
      <c r="Q129" s="107" t="e">
        <f xml:space="preserve"> Q110 *#REF! /#REF! *#REF!</f>
        <v>#REF!</v>
      </c>
      <c r="R129" s="107" t="e">
        <f xml:space="preserve"> R110 *#REF! /#REF! *#REF!</f>
        <v>#REF!</v>
      </c>
      <c r="S129" s="107" t="e">
        <f xml:space="preserve"> S110 *#REF! /#REF! *#REF!</f>
        <v>#REF!</v>
      </c>
      <c r="T129" s="107" t="e">
        <f xml:space="preserve"> T110 *#REF! /#REF! *#REF!</f>
        <v>#REF!</v>
      </c>
      <c r="U129" s="107" t="e">
        <f xml:space="preserve"> U110 *#REF! /#REF! *#REF!</f>
        <v>#REF!</v>
      </c>
      <c r="V129" s="107" t="e">
        <f xml:space="preserve"> V110 *#REF! /#REF! *#REF!</f>
        <v>#REF!</v>
      </c>
      <c r="W129" s="107" t="e">
        <f xml:space="preserve"> W110 *#REF! /#REF! *#REF!</f>
        <v>#REF!</v>
      </c>
      <c r="X129" s="107" t="e">
        <f xml:space="preserve"> X110 *#REF! /#REF! *#REF!</f>
        <v>#REF!</v>
      </c>
      <c r="Y129" s="107" t="e">
        <f xml:space="preserve"> Y110 *#REF! /#REF! *#REF!</f>
        <v>#REF!</v>
      </c>
      <c r="Z129" s="107" t="e">
        <f xml:space="preserve"> Z110 *#REF! /#REF! *#REF!</f>
        <v>#REF!</v>
      </c>
      <c r="AA129" s="107" t="e">
        <f xml:space="preserve"> AA110 *#REF! /#REF! *#REF!</f>
        <v>#REF!</v>
      </c>
      <c r="AB129" s="107" t="e">
        <f xml:space="preserve"> AB110 *#REF! /#REF! *#REF!</f>
        <v>#REF!</v>
      </c>
      <c r="AC129" s="107" t="e">
        <f xml:space="preserve"> AC110 *#REF! /#REF! *#REF!</f>
        <v>#REF!</v>
      </c>
      <c r="AD129" s="107" t="e">
        <f xml:space="preserve"> AD110 *#REF! /#REF! *#REF!</f>
        <v>#REF!</v>
      </c>
      <c r="AE129" s="107" t="e">
        <f xml:space="preserve"> AE110 *#REF! /#REF! *#REF!</f>
        <v>#REF!</v>
      </c>
      <c r="AF129" s="107" t="e">
        <f xml:space="preserve"> AF110 *#REF! /#REF! *#REF!</f>
        <v>#REF!</v>
      </c>
      <c r="AG129" s="107" t="e">
        <f xml:space="preserve"> AG110 *#REF! /#REF! *#REF!</f>
        <v>#REF!</v>
      </c>
      <c r="AH129" s="107" t="e">
        <f xml:space="preserve"> AH110 *#REF! /#REF! *#REF!</f>
        <v>#REF!</v>
      </c>
      <c r="AI129" s="107" t="e">
        <f xml:space="preserve"> AI110 *#REF! /#REF! *#REF!</f>
        <v>#REF!</v>
      </c>
      <c r="AJ129" s="107" t="e">
        <f xml:space="preserve"> AJ110 *#REF! /#REF! *#REF!</f>
        <v>#REF!</v>
      </c>
      <c r="AK129" s="107" t="e">
        <f xml:space="preserve"> AK110 *#REF! /#REF! *#REF!</f>
        <v>#REF!</v>
      </c>
      <c r="AL129" s="107" t="e">
        <f xml:space="preserve"> AL110 *#REF! /#REF! *#REF!</f>
        <v>#REF!</v>
      </c>
      <c r="AM129" s="107" t="e">
        <f xml:space="preserve"> AM110 *#REF! /#REF! *#REF!</f>
        <v>#REF!</v>
      </c>
      <c r="AN129" s="107" t="e">
        <f xml:space="preserve"> AN110 *#REF! /#REF! *#REF!</f>
        <v>#REF!</v>
      </c>
      <c r="AO129" s="107" t="e">
        <f xml:space="preserve"> AO110 *#REF! /#REF! *#REF!</f>
        <v>#REF!</v>
      </c>
      <c r="AP129" s="107" t="e">
        <f xml:space="preserve"> AP110 *#REF! /#REF! *#REF!</f>
        <v>#REF!</v>
      </c>
      <c r="AQ129" s="107" t="e">
        <f xml:space="preserve"> AQ110 *#REF! /#REF! *#REF!</f>
        <v>#REF!</v>
      </c>
      <c r="AR129" s="107" t="e">
        <f xml:space="preserve"> AR110 *#REF! /#REF! *#REF!</f>
        <v>#REF!</v>
      </c>
      <c r="AS129" s="107" t="e">
        <f xml:space="preserve"> AS110 *#REF! /#REF! *#REF!</f>
        <v>#REF!</v>
      </c>
      <c r="AT129" s="107" t="e">
        <f xml:space="preserve"> AT110 *#REF! /#REF! *#REF!</f>
        <v>#REF!</v>
      </c>
      <c r="AU129" s="107" t="e">
        <f xml:space="preserve"> AU110 *#REF! /#REF! *#REF!</f>
        <v>#REF!</v>
      </c>
      <c r="AV129" s="107" t="e">
        <f xml:space="preserve"> AV110 *#REF! /#REF! *#REF!</f>
        <v>#REF!</v>
      </c>
      <c r="AW129" s="107" t="e">
        <f xml:space="preserve"> AW110 *#REF! /#REF! *#REF!</f>
        <v>#REF!</v>
      </c>
      <c r="AX129" s="107" t="e">
        <f xml:space="preserve"> AX110 *#REF! /#REF! *#REF!</f>
        <v>#REF!</v>
      </c>
      <c r="AY129" s="107" t="e">
        <f xml:space="preserve"> AY110 *#REF! /#REF! *#REF!</f>
        <v>#REF!</v>
      </c>
      <c r="AZ129" s="107" t="e">
        <f xml:space="preserve"> AZ110 *#REF! /#REF! *#REF!</f>
        <v>#REF!</v>
      </c>
      <c r="BA129" s="107" t="e">
        <f xml:space="preserve"> BA110 *#REF! /#REF! *#REF!</f>
        <v>#REF!</v>
      </c>
      <c r="BB129" s="107" t="e">
        <f xml:space="preserve"> BB110 *#REF! /#REF! *#REF!</f>
        <v>#REF!</v>
      </c>
      <c r="BC129" s="107" t="e">
        <f xml:space="preserve"> BC110 *#REF! /#REF! *#REF!</f>
        <v>#REF!</v>
      </c>
      <c r="BD129" s="107" t="e">
        <f xml:space="preserve"> BD110 *#REF! /#REF! *#REF!</f>
        <v>#REF!</v>
      </c>
      <c r="BE129" s="107" t="e">
        <f xml:space="preserve"> BE110 *#REF! /#REF! *#REF!</f>
        <v>#REF!</v>
      </c>
      <c r="BF129" s="107" t="e">
        <f xml:space="preserve"> BF110 *#REF! /#REF! *#REF!</f>
        <v>#REF!</v>
      </c>
      <c r="BG129" s="107" t="e">
        <f xml:space="preserve"> BG110 *#REF! /#REF! *#REF!</f>
        <v>#REF!</v>
      </c>
      <c r="BH129" s="107" t="e">
        <f xml:space="preserve"> BH110 *#REF! /#REF! *#REF!</f>
        <v>#REF!</v>
      </c>
      <c r="BI129" s="108"/>
    </row>
    <row r="130" spans="1:61" s="109" customFormat="1" hidden="1" x14ac:dyDescent="0.2">
      <c r="A130" s="106" t="s">
        <v>476</v>
      </c>
      <c r="B130" s="133"/>
      <c r="C130" s="107" t="e">
        <f xml:space="preserve"> E129 - D129</f>
        <v>#REF!</v>
      </c>
      <c r="D130" s="107" t="e">
        <f t="shared" ref="D130:AK130" si="69" xml:space="preserve"> F129 - E129</f>
        <v>#REF!</v>
      </c>
      <c r="E130" s="107" t="e">
        <f t="shared" si="69"/>
        <v>#REF!</v>
      </c>
      <c r="F130" s="107" t="e">
        <f t="shared" si="69"/>
        <v>#REF!</v>
      </c>
      <c r="G130" s="107" t="e">
        <f t="shared" si="69"/>
        <v>#REF!</v>
      </c>
      <c r="H130" s="107" t="e">
        <f t="shared" si="69"/>
        <v>#REF!</v>
      </c>
      <c r="I130" s="107" t="e">
        <f t="shared" si="69"/>
        <v>#REF!</v>
      </c>
      <c r="J130" s="107" t="e">
        <f t="shared" si="69"/>
        <v>#REF!</v>
      </c>
      <c r="K130" s="107" t="e">
        <f t="shared" si="69"/>
        <v>#REF!</v>
      </c>
      <c r="L130" s="107" t="e">
        <f t="shared" si="69"/>
        <v>#REF!</v>
      </c>
      <c r="M130" s="107" t="e">
        <f t="shared" si="69"/>
        <v>#REF!</v>
      </c>
      <c r="N130" s="107" t="e">
        <f t="shared" si="69"/>
        <v>#REF!</v>
      </c>
      <c r="O130" s="107" t="e">
        <f t="shared" si="69"/>
        <v>#REF!</v>
      </c>
      <c r="P130" s="107" t="e">
        <f t="shared" si="69"/>
        <v>#REF!</v>
      </c>
      <c r="Q130" s="107" t="e">
        <f t="shared" si="69"/>
        <v>#REF!</v>
      </c>
      <c r="R130" s="107" t="e">
        <f t="shared" si="69"/>
        <v>#REF!</v>
      </c>
      <c r="S130" s="107" t="e">
        <f t="shared" si="69"/>
        <v>#REF!</v>
      </c>
      <c r="T130" s="107" t="e">
        <f t="shared" si="69"/>
        <v>#REF!</v>
      </c>
      <c r="U130" s="107" t="e">
        <f t="shared" si="69"/>
        <v>#REF!</v>
      </c>
      <c r="V130" s="107" t="e">
        <f t="shared" si="69"/>
        <v>#REF!</v>
      </c>
      <c r="W130" s="107" t="e">
        <f t="shared" si="69"/>
        <v>#REF!</v>
      </c>
      <c r="X130" s="107" t="e">
        <f t="shared" si="69"/>
        <v>#REF!</v>
      </c>
      <c r="Y130" s="107" t="e">
        <f t="shared" si="69"/>
        <v>#REF!</v>
      </c>
      <c r="Z130" s="107" t="e">
        <f t="shared" si="69"/>
        <v>#REF!</v>
      </c>
      <c r="AA130" s="107" t="e">
        <f t="shared" si="69"/>
        <v>#REF!</v>
      </c>
      <c r="AB130" s="107" t="e">
        <f t="shared" si="69"/>
        <v>#REF!</v>
      </c>
      <c r="AC130" s="107" t="e">
        <f t="shared" si="69"/>
        <v>#REF!</v>
      </c>
      <c r="AD130" s="107" t="e">
        <f t="shared" si="69"/>
        <v>#REF!</v>
      </c>
      <c r="AE130" s="107" t="e">
        <f t="shared" si="69"/>
        <v>#REF!</v>
      </c>
      <c r="AF130" s="107" t="e">
        <f t="shared" si="69"/>
        <v>#REF!</v>
      </c>
      <c r="AG130" s="107" t="e">
        <f t="shared" si="69"/>
        <v>#REF!</v>
      </c>
      <c r="AH130" s="107" t="e">
        <f t="shared" si="69"/>
        <v>#REF!</v>
      </c>
      <c r="AI130" s="107" t="e">
        <f t="shared" si="69"/>
        <v>#REF!</v>
      </c>
      <c r="AJ130" s="107" t="e">
        <f t="shared" si="69"/>
        <v>#REF!</v>
      </c>
      <c r="AK130" s="107" t="e">
        <f t="shared" si="69"/>
        <v>#REF!</v>
      </c>
      <c r="AL130" s="107">
        <v>0</v>
      </c>
      <c r="AM130" s="107">
        <v>0</v>
      </c>
      <c r="AN130" s="107">
        <v>0</v>
      </c>
      <c r="AO130" s="107">
        <v>0</v>
      </c>
      <c r="AP130" s="107">
        <v>0</v>
      </c>
      <c r="AQ130" s="107">
        <v>0</v>
      </c>
      <c r="AR130" s="107">
        <v>0</v>
      </c>
      <c r="AS130" s="107">
        <v>0</v>
      </c>
      <c r="AT130" s="107">
        <v>0</v>
      </c>
      <c r="AU130" s="107">
        <v>0</v>
      </c>
      <c r="AV130" s="107">
        <v>0</v>
      </c>
      <c r="AW130" s="107">
        <v>0</v>
      </c>
      <c r="AX130" s="107">
        <v>0</v>
      </c>
      <c r="AY130" s="107">
        <v>0</v>
      </c>
      <c r="AZ130" s="107">
        <v>0</v>
      </c>
      <c r="BA130" s="107">
        <v>0</v>
      </c>
      <c r="BB130" s="107">
        <v>0</v>
      </c>
      <c r="BC130" s="107">
        <v>0</v>
      </c>
      <c r="BD130" s="107">
        <v>0</v>
      </c>
      <c r="BE130" s="107">
        <v>0</v>
      </c>
      <c r="BF130" s="107">
        <v>0</v>
      </c>
      <c r="BG130" s="107">
        <v>0</v>
      </c>
      <c r="BH130" s="107">
        <v>0</v>
      </c>
      <c r="BI130" s="108"/>
    </row>
    <row r="131" spans="1:61" hidden="1" x14ac:dyDescent="0.2">
      <c r="A131" t="s">
        <v>477</v>
      </c>
      <c r="B131" s="31"/>
      <c r="C131" s="78">
        <v>0</v>
      </c>
      <c r="D131" s="10">
        <f>$C131</f>
        <v>0</v>
      </c>
      <c r="E131" s="10">
        <f t="shared" ref="E131:BH131" si="70">$C131</f>
        <v>0</v>
      </c>
      <c r="F131" s="10">
        <f t="shared" si="70"/>
        <v>0</v>
      </c>
      <c r="G131" s="10">
        <f t="shared" si="70"/>
        <v>0</v>
      </c>
      <c r="H131" s="10">
        <f t="shared" si="70"/>
        <v>0</v>
      </c>
      <c r="I131" s="10">
        <f t="shared" si="70"/>
        <v>0</v>
      </c>
      <c r="J131" s="10">
        <f t="shared" si="70"/>
        <v>0</v>
      </c>
      <c r="K131" s="10">
        <f t="shared" si="70"/>
        <v>0</v>
      </c>
      <c r="L131" s="10">
        <f t="shared" si="70"/>
        <v>0</v>
      </c>
      <c r="M131" s="10">
        <f t="shared" si="70"/>
        <v>0</v>
      </c>
      <c r="N131" s="10">
        <f t="shared" si="70"/>
        <v>0</v>
      </c>
      <c r="O131" s="10">
        <f t="shared" si="70"/>
        <v>0</v>
      </c>
      <c r="P131" s="10">
        <f t="shared" si="70"/>
        <v>0</v>
      </c>
      <c r="Q131" s="10">
        <f t="shared" si="70"/>
        <v>0</v>
      </c>
      <c r="R131" s="10">
        <f t="shared" si="70"/>
        <v>0</v>
      </c>
      <c r="S131" s="10">
        <f t="shared" si="70"/>
        <v>0</v>
      </c>
      <c r="T131" s="10">
        <f t="shared" si="70"/>
        <v>0</v>
      </c>
      <c r="U131" s="10">
        <f t="shared" si="70"/>
        <v>0</v>
      </c>
      <c r="V131" s="10">
        <f t="shared" si="70"/>
        <v>0</v>
      </c>
      <c r="W131" s="10">
        <f t="shared" si="70"/>
        <v>0</v>
      </c>
      <c r="X131" s="10">
        <f t="shared" si="70"/>
        <v>0</v>
      </c>
      <c r="Y131" s="10">
        <f t="shared" si="70"/>
        <v>0</v>
      </c>
      <c r="Z131" s="10">
        <f t="shared" si="70"/>
        <v>0</v>
      </c>
      <c r="AA131" s="10">
        <f t="shared" si="70"/>
        <v>0</v>
      </c>
      <c r="AB131" s="10">
        <f t="shared" si="70"/>
        <v>0</v>
      </c>
      <c r="AC131" s="10">
        <f t="shared" si="70"/>
        <v>0</v>
      </c>
      <c r="AD131" s="10">
        <f t="shared" si="70"/>
        <v>0</v>
      </c>
      <c r="AE131" s="10">
        <f t="shared" si="70"/>
        <v>0</v>
      </c>
      <c r="AF131" s="10">
        <f t="shared" si="70"/>
        <v>0</v>
      </c>
      <c r="AG131" s="10">
        <f t="shared" si="70"/>
        <v>0</v>
      </c>
      <c r="AH131" s="10">
        <f t="shared" si="70"/>
        <v>0</v>
      </c>
      <c r="AI131" s="10">
        <f t="shared" si="70"/>
        <v>0</v>
      </c>
      <c r="AJ131" s="10">
        <f t="shared" si="70"/>
        <v>0</v>
      </c>
      <c r="AK131" s="10">
        <f t="shared" si="70"/>
        <v>0</v>
      </c>
      <c r="AL131" s="10">
        <f t="shared" si="70"/>
        <v>0</v>
      </c>
      <c r="AM131" s="10">
        <f t="shared" si="70"/>
        <v>0</v>
      </c>
      <c r="AN131" s="10">
        <f t="shared" si="70"/>
        <v>0</v>
      </c>
      <c r="AO131" s="10">
        <f t="shared" si="70"/>
        <v>0</v>
      </c>
      <c r="AP131" s="10">
        <f t="shared" si="70"/>
        <v>0</v>
      </c>
      <c r="AQ131" s="10">
        <f t="shared" si="70"/>
        <v>0</v>
      </c>
      <c r="AR131" s="10">
        <f t="shared" si="70"/>
        <v>0</v>
      </c>
      <c r="AS131" s="10">
        <f t="shared" si="70"/>
        <v>0</v>
      </c>
      <c r="AT131" s="10">
        <f t="shared" si="70"/>
        <v>0</v>
      </c>
      <c r="AU131" s="10">
        <f t="shared" si="70"/>
        <v>0</v>
      </c>
      <c r="AV131" s="10">
        <f t="shared" si="70"/>
        <v>0</v>
      </c>
      <c r="AW131" s="10">
        <f t="shared" si="70"/>
        <v>0</v>
      </c>
      <c r="AX131" s="10">
        <f t="shared" si="70"/>
        <v>0</v>
      </c>
      <c r="AY131" s="10">
        <f t="shared" si="70"/>
        <v>0</v>
      </c>
      <c r="AZ131" s="10">
        <f t="shared" si="70"/>
        <v>0</v>
      </c>
      <c r="BA131" s="10">
        <f t="shared" si="70"/>
        <v>0</v>
      </c>
      <c r="BB131" s="10">
        <f t="shared" si="70"/>
        <v>0</v>
      </c>
      <c r="BC131" s="10">
        <f t="shared" si="70"/>
        <v>0</v>
      </c>
      <c r="BD131" s="10">
        <f t="shared" si="70"/>
        <v>0</v>
      </c>
      <c r="BE131" s="10">
        <f t="shared" si="70"/>
        <v>0</v>
      </c>
      <c r="BF131" s="10">
        <f t="shared" si="70"/>
        <v>0</v>
      </c>
      <c r="BG131" s="10">
        <f t="shared" si="70"/>
        <v>0</v>
      </c>
      <c r="BH131" s="10">
        <f t="shared" si="70"/>
        <v>0</v>
      </c>
      <c r="BI131" s="10"/>
    </row>
    <row r="132" spans="1:61" s="76" customFormat="1" hidden="1" x14ac:dyDescent="0.2">
      <c r="A132" s="76" t="s">
        <v>478</v>
      </c>
      <c r="B132" s="123"/>
      <c r="C132" s="77" t="e">
        <f t="shared" ref="C132:BH132" si="71" xml:space="preserve"> C125 * C131</f>
        <v>#REF!</v>
      </c>
      <c r="D132" s="77" t="e">
        <f t="shared" si="71"/>
        <v>#REF!</v>
      </c>
      <c r="E132" s="77" t="e">
        <f t="shared" si="71"/>
        <v>#REF!</v>
      </c>
      <c r="F132" s="77" t="e">
        <f t="shared" si="71"/>
        <v>#REF!</v>
      </c>
      <c r="G132" s="77" t="e">
        <f t="shared" si="71"/>
        <v>#REF!</v>
      </c>
      <c r="H132" s="77" t="e">
        <f t="shared" si="71"/>
        <v>#REF!</v>
      </c>
      <c r="I132" s="77" t="e">
        <f t="shared" si="71"/>
        <v>#REF!</v>
      </c>
      <c r="J132" s="77" t="e">
        <f t="shared" si="71"/>
        <v>#REF!</v>
      </c>
      <c r="K132" s="77" t="e">
        <f t="shared" si="71"/>
        <v>#REF!</v>
      </c>
      <c r="L132" s="77" t="e">
        <f t="shared" si="71"/>
        <v>#REF!</v>
      </c>
      <c r="M132" s="77" t="e">
        <f t="shared" si="71"/>
        <v>#REF!</v>
      </c>
      <c r="N132" s="77" t="e">
        <f t="shared" si="71"/>
        <v>#REF!</v>
      </c>
      <c r="O132" s="77" t="e">
        <f t="shared" si="71"/>
        <v>#REF!</v>
      </c>
      <c r="P132" s="77" t="e">
        <f t="shared" si="71"/>
        <v>#REF!</v>
      </c>
      <c r="Q132" s="77" t="e">
        <f t="shared" si="71"/>
        <v>#REF!</v>
      </c>
      <c r="R132" s="77" t="e">
        <f t="shared" si="71"/>
        <v>#REF!</v>
      </c>
      <c r="S132" s="77" t="e">
        <f t="shared" si="71"/>
        <v>#REF!</v>
      </c>
      <c r="T132" s="77" t="e">
        <f t="shared" si="71"/>
        <v>#REF!</v>
      </c>
      <c r="U132" s="77" t="e">
        <f t="shared" si="71"/>
        <v>#REF!</v>
      </c>
      <c r="V132" s="77" t="e">
        <f t="shared" si="71"/>
        <v>#REF!</v>
      </c>
      <c r="W132" s="77" t="e">
        <f t="shared" si="71"/>
        <v>#REF!</v>
      </c>
      <c r="X132" s="77" t="e">
        <f t="shared" si="71"/>
        <v>#REF!</v>
      </c>
      <c r="Y132" s="77" t="e">
        <f t="shared" si="71"/>
        <v>#REF!</v>
      </c>
      <c r="Z132" s="77" t="e">
        <f t="shared" si="71"/>
        <v>#REF!</v>
      </c>
      <c r="AA132" s="77" t="e">
        <f t="shared" si="71"/>
        <v>#REF!</v>
      </c>
      <c r="AB132" s="77" t="e">
        <f t="shared" si="71"/>
        <v>#REF!</v>
      </c>
      <c r="AC132" s="77" t="e">
        <f t="shared" si="71"/>
        <v>#REF!</v>
      </c>
      <c r="AD132" s="77" t="e">
        <f t="shared" si="71"/>
        <v>#REF!</v>
      </c>
      <c r="AE132" s="77" t="e">
        <f t="shared" si="71"/>
        <v>#REF!</v>
      </c>
      <c r="AF132" s="77" t="e">
        <f t="shared" si="71"/>
        <v>#REF!</v>
      </c>
      <c r="AG132" s="77" t="e">
        <f t="shared" si="71"/>
        <v>#REF!</v>
      </c>
      <c r="AH132" s="77" t="e">
        <f t="shared" si="71"/>
        <v>#REF!</v>
      </c>
      <c r="AI132" s="77" t="e">
        <f t="shared" si="71"/>
        <v>#REF!</v>
      </c>
      <c r="AJ132" s="77" t="e">
        <f t="shared" si="71"/>
        <v>#REF!</v>
      </c>
      <c r="AK132" s="77" t="e">
        <f t="shared" si="71"/>
        <v>#REF!</v>
      </c>
      <c r="AL132" s="77" t="e">
        <f t="shared" si="71"/>
        <v>#REF!</v>
      </c>
      <c r="AM132" s="77" t="e">
        <f t="shared" si="71"/>
        <v>#REF!</v>
      </c>
      <c r="AN132" s="77" t="e">
        <f t="shared" si="71"/>
        <v>#REF!</v>
      </c>
      <c r="AO132" s="77" t="e">
        <f t="shared" si="71"/>
        <v>#REF!</v>
      </c>
      <c r="AP132" s="77" t="e">
        <f t="shared" si="71"/>
        <v>#REF!</v>
      </c>
      <c r="AQ132" s="77" t="e">
        <f t="shared" si="71"/>
        <v>#REF!</v>
      </c>
      <c r="AR132" s="77" t="e">
        <f t="shared" si="71"/>
        <v>#REF!</v>
      </c>
      <c r="AS132" s="77" t="e">
        <f t="shared" si="71"/>
        <v>#REF!</v>
      </c>
      <c r="AT132" s="77" t="e">
        <f t="shared" si="71"/>
        <v>#REF!</v>
      </c>
      <c r="AU132" s="77" t="e">
        <f t="shared" si="71"/>
        <v>#REF!</v>
      </c>
      <c r="AV132" s="77" t="e">
        <f t="shared" si="71"/>
        <v>#REF!</v>
      </c>
      <c r="AW132" s="77" t="e">
        <f t="shared" si="71"/>
        <v>#REF!</v>
      </c>
      <c r="AX132" s="77" t="e">
        <f t="shared" si="71"/>
        <v>#REF!</v>
      </c>
      <c r="AY132" s="77" t="e">
        <f t="shared" si="71"/>
        <v>#REF!</v>
      </c>
      <c r="AZ132" s="77" t="e">
        <f t="shared" si="71"/>
        <v>#REF!</v>
      </c>
      <c r="BA132" s="77" t="e">
        <f t="shared" si="71"/>
        <v>#REF!</v>
      </c>
      <c r="BB132" s="77" t="e">
        <f t="shared" si="71"/>
        <v>#REF!</v>
      </c>
      <c r="BC132" s="77" t="e">
        <f t="shared" si="71"/>
        <v>#REF!</v>
      </c>
      <c r="BD132" s="77" t="e">
        <f t="shared" si="71"/>
        <v>#REF!</v>
      </c>
      <c r="BE132" s="77" t="e">
        <f t="shared" si="71"/>
        <v>#REF!</v>
      </c>
      <c r="BF132" s="77" t="e">
        <f t="shared" si="71"/>
        <v>#REF!</v>
      </c>
      <c r="BG132" s="77" t="e">
        <f t="shared" si="71"/>
        <v>#REF!</v>
      </c>
      <c r="BH132" s="77" t="e">
        <f t="shared" si="71"/>
        <v>#REF!</v>
      </c>
      <c r="BI132" s="77"/>
    </row>
    <row r="133" spans="1:61" s="76" customFormat="1" hidden="1" x14ac:dyDescent="0.2">
      <c r="B133" s="123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</row>
    <row r="134" spans="1:61" hidden="1" x14ac:dyDescent="0.2">
      <c r="A134" s="1" t="s">
        <v>580</v>
      </c>
      <c r="B134" s="31"/>
    </row>
    <row r="135" spans="1:61" s="72" customFormat="1" hidden="1" x14ac:dyDescent="0.2">
      <c r="A135" s="72" t="s">
        <v>26</v>
      </c>
      <c r="B135" s="128"/>
      <c r="C135" s="73" t="e">
        <f t="shared" ref="C135:BH135" si="72">SUM(C33,C43,C85,C95,C58,C117,C132)</f>
        <v>#REF!</v>
      </c>
      <c r="D135" s="73" t="e">
        <f t="shared" si="72"/>
        <v>#REF!</v>
      </c>
      <c r="E135" s="73" t="e">
        <f t="shared" si="72"/>
        <v>#REF!</v>
      </c>
      <c r="F135" s="73" t="e">
        <f t="shared" si="72"/>
        <v>#REF!</v>
      </c>
      <c r="G135" s="73" t="e">
        <f t="shared" si="72"/>
        <v>#REF!</v>
      </c>
      <c r="H135" s="73" t="e">
        <f t="shared" si="72"/>
        <v>#REF!</v>
      </c>
      <c r="I135" s="73" t="e">
        <f t="shared" si="72"/>
        <v>#REF!</v>
      </c>
      <c r="J135" s="73" t="e">
        <f t="shared" si="72"/>
        <v>#REF!</v>
      </c>
      <c r="K135" s="73" t="e">
        <f t="shared" si="72"/>
        <v>#REF!</v>
      </c>
      <c r="L135" s="73" t="e">
        <f t="shared" si="72"/>
        <v>#REF!</v>
      </c>
      <c r="M135" s="73" t="e">
        <f t="shared" si="72"/>
        <v>#REF!</v>
      </c>
      <c r="N135" s="73" t="e">
        <f t="shared" si="72"/>
        <v>#REF!</v>
      </c>
      <c r="O135" s="73" t="e">
        <f t="shared" si="72"/>
        <v>#REF!</v>
      </c>
      <c r="P135" s="73" t="e">
        <f t="shared" si="72"/>
        <v>#REF!</v>
      </c>
      <c r="Q135" s="73" t="e">
        <f t="shared" si="72"/>
        <v>#REF!</v>
      </c>
      <c r="R135" s="73" t="e">
        <f t="shared" si="72"/>
        <v>#REF!</v>
      </c>
      <c r="S135" s="73" t="e">
        <f t="shared" si="72"/>
        <v>#REF!</v>
      </c>
      <c r="T135" s="73" t="e">
        <f t="shared" si="72"/>
        <v>#REF!</v>
      </c>
      <c r="U135" s="73" t="e">
        <f t="shared" si="72"/>
        <v>#REF!</v>
      </c>
      <c r="V135" s="73" t="e">
        <f t="shared" si="72"/>
        <v>#REF!</v>
      </c>
      <c r="W135" s="73" t="e">
        <f t="shared" si="72"/>
        <v>#REF!</v>
      </c>
      <c r="X135" s="73" t="e">
        <f t="shared" si="72"/>
        <v>#REF!</v>
      </c>
      <c r="Y135" s="73" t="e">
        <f t="shared" si="72"/>
        <v>#REF!</v>
      </c>
      <c r="Z135" s="73" t="e">
        <f t="shared" si="72"/>
        <v>#REF!</v>
      </c>
      <c r="AA135" s="73" t="e">
        <f t="shared" si="72"/>
        <v>#REF!</v>
      </c>
      <c r="AB135" s="73" t="e">
        <f t="shared" si="72"/>
        <v>#REF!</v>
      </c>
      <c r="AC135" s="73" t="e">
        <f t="shared" si="72"/>
        <v>#REF!</v>
      </c>
      <c r="AD135" s="73" t="e">
        <f t="shared" si="72"/>
        <v>#REF!</v>
      </c>
      <c r="AE135" s="73" t="e">
        <f t="shared" si="72"/>
        <v>#REF!</v>
      </c>
      <c r="AF135" s="73" t="e">
        <f t="shared" si="72"/>
        <v>#REF!</v>
      </c>
      <c r="AG135" s="73" t="e">
        <f t="shared" si="72"/>
        <v>#REF!</v>
      </c>
      <c r="AH135" s="73" t="e">
        <f t="shared" si="72"/>
        <v>#REF!</v>
      </c>
      <c r="AI135" s="73" t="e">
        <f t="shared" si="72"/>
        <v>#REF!</v>
      </c>
      <c r="AJ135" s="73" t="e">
        <f t="shared" si="72"/>
        <v>#REF!</v>
      </c>
      <c r="AK135" s="73" t="e">
        <f t="shared" si="72"/>
        <v>#REF!</v>
      </c>
      <c r="AL135" s="73" t="e">
        <f t="shared" si="72"/>
        <v>#REF!</v>
      </c>
      <c r="AM135" s="73" t="e">
        <f t="shared" si="72"/>
        <v>#REF!</v>
      </c>
      <c r="AN135" s="73" t="e">
        <f t="shared" si="72"/>
        <v>#REF!</v>
      </c>
      <c r="AO135" s="73" t="e">
        <f t="shared" si="72"/>
        <v>#REF!</v>
      </c>
      <c r="AP135" s="73" t="e">
        <f t="shared" si="72"/>
        <v>#REF!</v>
      </c>
      <c r="AQ135" s="73" t="e">
        <f t="shared" si="72"/>
        <v>#REF!</v>
      </c>
      <c r="AR135" s="73" t="e">
        <f t="shared" si="72"/>
        <v>#REF!</v>
      </c>
      <c r="AS135" s="73" t="e">
        <f t="shared" si="72"/>
        <v>#REF!</v>
      </c>
      <c r="AT135" s="73" t="e">
        <f t="shared" si="72"/>
        <v>#REF!</v>
      </c>
      <c r="AU135" s="73" t="e">
        <f t="shared" si="72"/>
        <v>#REF!</v>
      </c>
      <c r="AV135" s="73" t="e">
        <f t="shared" si="72"/>
        <v>#REF!</v>
      </c>
      <c r="AW135" s="73" t="e">
        <f t="shared" si="72"/>
        <v>#REF!</v>
      </c>
      <c r="AX135" s="73" t="e">
        <f t="shared" si="72"/>
        <v>#REF!</v>
      </c>
      <c r="AY135" s="73" t="e">
        <f t="shared" si="72"/>
        <v>#REF!</v>
      </c>
      <c r="AZ135" s="73" t="e">
        <f t="shared" si="72"/>
        <v>#REF!</v>
      </c>
      <c r="BA135" s="73" t="e">
        <f t="shared" si="72"/>
        <v>#REF!</v>
      </c>
      <c r="BB135" s="73" t="e">
        <f t="shared" si="72"/>
        <v>#REF!</v>
      </c>
      <c r="BC135" s="73" t="e">
        <f t="shared" si="72"/>
        <v>#REF!</v>
      </c>
      <c r="BD135" s="73" t="e">
        <f t="shared" si="72"/>
        <v>#REF!</v>
      </c>
      <c r="BE135" s="73" t="e">
        <f t="shared" si="72"/>
        <v>#REF!</v>
      </c>
      <c r="BF135" s="73" t="e">
        <f t="shared" si="72"/>
        <v>#REF!</v>
      </c>
      <c r="BG135" s="73" t="e">
        <f t="shared" si="72"/>
        <v>#REF!</v>
      </c>
      <c r="BH135" s="73" t="e">
        <f t="shared" si="72"/>
        <v>#REF!</v>
      </c>
      <c r="BI135" s="73"/>
    </row>
    <row r="136" spans="1:61" s="74" customFormat="1" hidden="1" x14ac:dyDescent="0.2">
      <c r="A136" s="74" t="s">
        <v>27</v>
      </c>
      <c r="B136" s="121"/>
      <c r="C136" s="75" t="e">
        <f>SUM(C23,C29,C39,C48,C75,C81,C91,C63,C111)</f>
        <v>#REF!</v>
      </c>
      <c r="D136" s="75" t="e">
        <f t="shared" ref="D136:BH136" si="73">SUM(D23,D29,D39,D48,D75,D81,D91,D63,D111)</f>
        <v>#REF!</v>
      </c>
      <c r="E136" s="75" t="e">
        <f t="shared" si="73"/>
        <v>#REF!</v>
      </c>
      <c r="F136" s="75" t="e">
        <f t="shared" si="73"/>
        <v>#REF!</v>
      </c>
      <c r="G136" s="75" t="e">
        <f t="shared" si="73"/>
        <v>#REF!</v>
      </c>
      <c r="H136" s="75" t="e">
        <f t="shared" si="73"/>
        <v>#REF!</v>
      </c>
      <c r="I136" s="75" t="e">
        <f t="shared" si="73"/>
        <v>#REF!</v>
      </c>
      <c r="J136" s="75" t="e">
        <f t="shared" si="73"/>
        <v>#REF!</v>
      </c>
      <c r="K136" s="75" t="e">
        <f t="shared" si="73"/>
        <v>#REF!</v>
      </c>
      <c r="L136" s="75" t="e">
        <f t="shared" si="73"/>
        <v>#REF!</v>
      </c>
      <c r="M136" s="75" t="e">
        <f t="shared" si="73"/>
        <v>#REF!</v>
      </c>
      <c r="N136" s="75" t="e">
        <f t="shared" si="73"/>
        <v>#REF!</v>
      </c>
      <c r="O136" s="75" t="e">
        <f t="shared" si="73"/>
        <v>#REF!</v>
      </c>
      <c r="P136" s="75" t="e">
        <f t="shared" si="73"/>
        <v>#REF!</v>
      </c>
      <c r="Q136" s="75" t="e">
        <f t="shared" si="73"/>
        <v>#REF!</v>
      </c>
      <c r="R136" s="75" t="e">
        <f t="shared" si="73"/>
        <v>#REF!</v>
      </c>
      <c r="S136" s="75" t="e">
        <f t="shared" si="73"/>
        <v>#REF!</v>
      </c>
      <c r="T136" s="75" t="e">
        <f t="shared" si="73"/>
        <v>#REF!</v>
      </c>
      <c r="U136" s="75" t="e">
        <f t="shared" si="73"/>
        <v>#REF!</v>
      </c>
      <c r="V136" s="75" t="e">
        <f t="shared" si="73"/>
        <v>#REF!</v>
      </c>
      <c r="W136" s="75" t="e">
        <f t="shared" si="73"/>
        <v>#REF!</v>
      </c>
      <c r="X136" s="75" t="e">
        <f t="shared" si="73"/>
        <v>#REF!</v>
      </c>
      <c r="Y136" s="75" t="e">
        <f t="shared" si="73"/>
        <v>#REF!</v>
      </c>
      <c r="Z136" s="75" t="e">
        <f t="shared" si="73"/>
        <v>#REF!</v>
      </c>
      <c r="AA136" s="75" t="e">
        <f t="shared" si="73"/>
        <v>#REF!</v>
      </c>
      <c r="AB136" s="75" t="e">
        <f t="shared" si="73"/>
        <v>#REF!</v>
      </c>
      <c r="AC136" s="75" t="e">
        <f t="shared" si="73"/>
        <v>#REF!</v>
      </c>
      <c r="AD136" s="75" t="e">
        <f t="shared" si="73"/>
        <v>#REF!</v>
      </c>
      <c r="AE136" s="75" t="e">
        <f t="shared" si="73"/>
        <v>#REF!</v>
      </c>
      <c r="AF136" s="75" t="e">
        <f t="shared" si="73"/>
        <v>#REF!</v>
      </c>
      <c r="AG136" s="75" t="e">
        <f t="shared" si="73"/>
        <v>#REF!</v>
      </c>
      <c r="AH136" s="75" t="e">
        <f t="shared" si="73"/>
        <v>#REF!</v>
      </c>
      <c r="AI136" s="75" t="e">
        <f t="shared" si="73"/>
        <v>#REF!</v>
      </c>
      <c r="AJ136" s="75" t="e">
        <f t="shared" si="73"/>
        <v>#REF!</v>
      </c>
      <c r="AK136" s="75" t="e">
        <f t="shared" si="73"/>
        <v>#REF!</v>
      </c>
      <c r="AL136" s="75" t="e">
        <f t="shared" si="73"/>
        <v>#REF!</v>
      </c>
      <c r="AM136" s="75" t="e">
        <f t="shared" si="73"/>
        <v>#REF!</v>
      </c>
      <c r="AN136" s="75" t="e">
        <f t="shared" si="73"/>
        <v>#REF!</v>
      </c>
      <c r="AO136" s="75" t="e">
        <f t="shared" si="73"/>
        <v>#REF!</v>
      </c>
      <c r="AP136" s="75" t="e">
        <f t="shared" si="73"/>
        <v>#REF!</v>
      </c>
      <c r="AQ136" s="75" t="e">
        <f t="shared" si="73"/>
        <v>#REF!</v>
      </c>
      <c r="AR136" s="75" t="e">
        <f t="shared" si="73"/>
        <v>#REF!</v>
      </c>
      <c r="AS136" s="75" t="e">
        <f t="shared" si="73"/>
        <v>#REF!</v>
      </c>
      <c r="AT136" s="75" t="e">
        <f t="shared" si="73"/>
        <v>#REF!</v>
      </c>
      <c r="AU136" s="75" t="e">
        <f t="shared" si="73"/>
        <v>#REF!</v>
      </c>
      <c r="AV136" s="75" t="e">
        <f t="shared" si="73"/>
        <v>#REF!</v>
      </c>
      <c r="AW136" s="75" t="e">
        <f t="shared" si="73"/>
        <v>#REF!</v>
      </c>
      <c r="AX136" s="75" t="e">
        <f t="shared" si="73"/>
        <v>#REF!</v>
      </c>
      <c r="AY136" s="75" t="e">
        <f t="shared" si="73"/>
        <v>#REF!</v>
      </c>
      <c r="AZ136" s="75" t="e">
        <f t="shared" si="73"/>
        <v>#REF!</v>
      </c>
      <c r="BA136" s="75" t="e">
        <f t="shared" si="73"/>
        <v>#REF!</v>
      </c>
      <c r="BB136" s="75" t="e">
        <f t="shared" si="73"/>
        <v>#REF!</v>
      </c>
      <c r="BC136" s="75" t="e">
        <f t="shared" si="73"/>
        <v>#REF!</v>
      </c>
      <c r="BD136" s="75" t="e">
        <f t="shared" si="73"/>
        <v>#REF!</v>
      </c>
      <c r="BE136" s="75" t="e">
        <f t="shared" si="73"/>
        <v>#REF!</v>
      </c>
      <c r="BF136" s="75" t="e">
        <f t="shared" si="73"/>
        <v>#REF!</v>
      </c>
      <c r="BG136" s="75" t="e">
        <f t="shared" si="73"/>
        <v>#REF!</v>
      </c>
      <c r="BH136" s="75" t="e">
        <f t="shared" si="73"/>
        <v>#REF!</v>
      </c>
      <c r="BI136" s="75"/>
    </row>
    <row r="137" spans="1:61" s="74" customFormat="1" hidden="1" x14ac:dyDescent="0.2">
      <c r="A137" s="74" t="s">
        <v>512</v>
      </c>
      <c r="B137" s="121">
        <v>1.4999999999999999E-2</v>
      </c>
      <c r="C137" s="121">
        <f xml:space="preserve"> 1 + B137</f>
        <v>1.0149999999999999</v>
      </c>
      <c r="D137" s="121">
        <f xml:space="preserve"> (1 + $B137) * C137</f>
        <v>1.0302249999999997</v>
      </c>
      <c r="E137" s="121">
        <f xml:space="preserve"> (1 + $B137) * D137</f>
        <v>1.0456783749999996</v>
      </c>
      <c r="F137" s="121">
        <f xml:space="preserve"> (1 + $B137) * E137</f>
        <v>1.0613635506249994</v>
      </c>
      <c r="G137" s="121">
        <f t="shared" ref="G137:BH137" si="74" xml:space="preserve"> (1 + $B137) * F137</f>
        <v>1.0772840038843743</v>
      </c>
      <c r="H137" s="121">
        <f t="shared" si="74"/>
        <v>1.0934432639426397</v>
      </c>
      <c r="I137" s="121">
        <f t="shared" si="74"/>
        <v>1.1098449129017791</v>
      </c>
      <c r="J137" s="121">
        <f t="shared" si="74"/>
        <v>1.1264925865953057</v>
      </c>
      <c r="K137" s="121">
        <f t="shared" si="74"/>
        <v>1.1433899753942351</v>
      </c>
      <c r="L137" s="121">
        <f t="shared" si="74"/>
        <v>1.1605408250251485</v>
      </c>
      <c r="M137" s="121">
        <f t="shared" si="74"/>
        <v>1.1779489374005256</v>
      </c>
      <c r="N137" s="121">
        <f t="shared" si="74"/>
        <v>1.1956181714615335</v>
      </c>
      <c r="O137" s="121">
        <f t="shared" si="74"/>
        <v>1.2135524440334564</v>
      </c>
      <c r="P137" s="121">
        <f t="shared" si="74"/>
        <v>1.2317557306939582</v>
      </c>
      <c r="Q137" s="121">
        <f t="shared" si="74"/>
        <v>1.2502320666543674</v>
      </c>
      <c r="R137" s="121">
        <f t="shared" si="74"/>
        <v>1.2689855476541827</v>
      </c>
      <c r="S137" s="121">
        <f t="shared" si="74"/>
        <v>1.2880203308689953</v>
      </c>
      <c r="T137" s="121">
        <f t="shared" si="74"/>
        <v>1.3073406358320301</v>
      </c>
      <c r="U137" s="121">
        <f t="shared" si="74"/>
        <v>1.3269507453695104</v>
      </c>
      <c r="V137" s="121">
        <f t="shared" si="74"/>
        <v>1.3468550065500529</v>
      </c>
      <c r="W137" s="121">
        <f t="shared" si="74"/>
        <v>1.3670578316483035</v>
      </c>
      <c r="X137" s="121">
        <f t="shared" si="74"/>
        <v>1.387563699123028</v>
      </c>
      <c r="Y137" s="121">
        <f t="shared" si="74"/>
        <v>1.4083771546098733</v>
      </c>
      <c r="Z137" s="121">
        <f t="shared" si="74"/>
        <v>1.4295028119290214</v>
      </c>
      <c r="AA137" s="121">
        <f t="shared" si="74"/>
        <v>1.4509453541079567</v>
      </c>
      <c r="AB137" s="121">
        <f t="shared" si="74"/>
        <v>1.472709534419576</v>
      </c>
      <c r="AC137" s="121">
        <f t="shared" si="74"/>
        <v>1.4948001774358695</v>
      </c>
      <c r="AD137" s="121">
        <f t="shared" si="74"/>
        <v>1.5172221800974073</v>
      </c>
      <c r="AE137" s="121">
        <f t="shared" si="74"/>
        <v>1.5399805127988682</v>
      </c>
      <c r="AF137" s="121">
        <f t="shared" si="74"/>
        <v>1.5630802204908509</v>
      </c>
      <c r="AG137" s="121">
        <f t="shared" si="74"/>
        <v>1.5865264237982135</v>
      </c>
      <c r="AH137" s="121">
        <f t="shared" si="74"/>
        <v>1.6103243201551867</v>
      </c>
      <c r="AI137" s="121">
        <f t="shared" si="74"/>
        <v>1.6344791849575142</v>
      </c>
      <c r="AJ137" s="121">
        <f t="shared" si="74"/>
        <v>1.6589963727318768</v>
      </c>
      <c r="AK137" s="121">
        <f t="shared" si="74"/>
        <v>1.6838813183228549</v>
      </c>
      <c r="AL137" s="121">
        <f t="shared" si="74"/>
        <v>1.7091395380976975</v>
      </c>
      <c r="AM137" s="121">
        <f t="shared" si="74"/>
        <v>1.7347766311691628</v>
      </c>
      <c r="AN137" s="121">
        <f t="shared" si="74"/>
        <v>1.7607982806367002</v>
      </c>
      <c r="AO137" s="121">
        <f t="shared" si="74"/>
        <v>1.7872102548462505</v>
      </c>
      <c r="AP137" s="121">
        <f t="shared" si="74"/>
        <v>1.8140184086689441</v>
      </c>
      <c r="AQ137" s="121">
        <f t="shared" si="74"/>
        <v>1.8412286847989781</v>
      </c>
      <c r="AR137" s="121">
        <f t="shared" si="74"/>
        <v>1.8688471150709625</v>
      </c>
      <c r="AS137" s="121">
        <f t="shared" si="74"/>
        <v>1.8968798217970266</v>
      </c>
      <c r="AT137" s="121">
        <f t="shared" si="74"/>
        <v>1.9253330191239819</v>
      </c>
      <c r="AU137" s="121">
        <f t="shared" si="74"/>
        <v>1.9542130144108414</v>
      </c>
      <c r="AV137" s="121">
        <f t="shared" si="74"/>
        <v>1.9835262096270039</v>
      </c>
      <c r="AW137" s="121">
        <f t="shared" si="74"/>
        <v>2.0132791027714085</v>
      </c>
      <c r="AX137" s="121">
        <f t="shared" si="74"/>
        <v>2.0434782893129793</v>
      </c>
      <c r="AY137" s="121">
        <f t="shared" si="74"/>
        <v>2.0741304636526738</v>
      </c>
      <c r="AZ137" s="121">
        <f t="shared" si="74"/>
        <v>2.1052424206074636</v>
      </c>
      <c r="BA137" s="121">
        <f t="shared" si="74"/>
        <v>2.1368210569165753</v>
      </c>
      <c r="BB137" s="121">
        <f t="shared" si="74"/>
        <v>2.1688733727703235</v>
      </c>
      <c r="BC137" s="121">
        <f t="shared" si="74"/>
        <v>2.2014064733618781</v>
      </c>
      <c r="BD137" s="121">
        <f t="shared" si="74"/>
        <v>2.234427570462306</v>
      </c>
      <c r="BE137" s="121">
        <f t="shared" si="74"/>
        <v>2.2679439840192406</v>
      </c>
      <c r="BF137" s="121">
        <f t="shared" si="74"/>
        <v>2.3019631437795289</v>
      </c>
      <c r="BG137" s="121">
        <f t="shared" si="74"/>
        <v>2.3364925909362215</v>
      </c>
      <c r="BH137" s="121">
        <f t="shared" si="74"/>
        <v>2.3715399798002648</v>
      </c>
      <c r="BI137" s="75"/>
    </row>
    <row r="138" spans="1:61" s="74" customFormat="1" hidden="1" x14ac:dyDescent="0.2">
      <c r="A138" s="74" t="s">
        <v>513</v>
      </c>
      <c r="B138" s="121"/>
      <c r="C138" s="75" t="e">
        <f xml:space="preserve"> C136 * C137</f>
        <v>#REF!</v>
      </c>
      <c r="D138" s="75" t="e">
        <f xml:space="preserve"> D136 * D137</f>
        <v>#REF!</v>
      </c>
      <c r="E138" s="75" t="e">
        <f t="shared" ref="E138:BH138" si="75" xml:space="preserve"> E136 * E137</f>
        <v>#REF!</v>
      </c>
      <c r="F138" s="75" t="e">
        <f t="shared" si="75"/>
        <v>#REF!</v>
      </c>
      <c r="G138" s="75" t="e">
        <f t="shared" si="75"/>
        <v>#REF!</v>
      </c>
      <c r="H138" s="75" t="e">
        <f t="shared" si="75"/>
        <v>#REF!</v>
      </c>
      <c r="I138" s="75" t="e">
        <f t="shared" si="75"/>
        <v>#REF!</v>
      </c>
      <c r="J138" s="75" t="e">
        <f t="shared" si="75"/>
        <v>#REF!</v>
      </c>
      <c r="K138" s="75" t="e">
        <f t="shared" si="75"/>
        <v>#REF!</v>
      </c>
      <c r="L138" s="75" t="e">
        <f t="shared" si="75"/>
        <v>#REF!</v>
      </c>
      <c r="M138" s="75" t="e">
        <f t="shared" si="75"/>
        <v>#REF!</v>
      </c>
      <c r="N138" s="75" t="e">
        <f t="shared" si="75"/>
        <v>#REF!</v>
      </c>
      <c r="O138" s="75" t="e">
        <f t="shared" si="75"/>
        <v>#REF!</v>
      </c>
      <c r="P138" s="75" t="e">
        <f t="shared" si="75"/>
        <v>#REF!</v>
      </c>
      <c r="Q138" s="75" t="e">
        <f t="shared" si="75"/>
        <v>#REF!</v>
      </c>
      <c r="R138" s="75" t="e">
        <f t="shared" si="75"/>
        <v>#REF!</v>
      </c>
      <c r="S138" s="75" t="e">
        <f t="shared" si="75"/>
        <v>#REF!</v>
      </c>
      <c r="T138" s="75" t="e">
        <f t="shared" si="75"/>
        <v>#REF!</v>
      </c>
      <c r="U138" s="75" t="e">
        <f t="shared" si="75"/>
        <v>#REF!</v>
      </c>
      <c r="V138" s="75" t="e">
        <f t="shared" si="75"/>
        <v>#REF!</v>
      </c>
      <c r="W138" s="75" t="e">
        <f t="shared" si="75"/>
        <v>#REF!</v>
      </c>
      <c r="X138" s="75" t="e">
        <f t="shared" si="75"/>
        <v>#REF!</v>
      </c>
      <c r="Y138" s="75" t="e">
        <f t="shared" si="75"/>
        <v>#REF!</v>
      </c>
      <c r="Z138" s="75" t="e">
        <f t="shared" si="75"/>
        <v>#REF!</v>
      </c>
      <c r="AA138" s="75" t="e">
        <f t="shared" si="75"/>
        <v>#REF!</v>
      </c>
      <c r="AB138" s="75" t="e">
        <f t="shared" si="75"/>
        <v>#REF!</v>
      </c>
      <c r="AC138" s="75" t="e">
        <f t="shared" si="75"/>
        <v>#REF!</v>
      </c>
      <c r="AD138" s="75" t="e">
        <f t="shared" si="75"/>
        <v>#REF!</v>
      </c>
      <c r="AE138" s="75" t="e">
        <f t="shared" si="75"/>
        <v>#REF!</v>
      </c>
      <c r="AF138" s="75" t="e">
        <f t="shared" si="75"/>
        <v>#REF!</v>
      </c>
      <c r="AG138" s="75" t="e">
        <f t="shared" si="75"/>
        <v>#REF!</v>
      </c>
      <c r="AH138" s="75" t="e">
        <f t="shared" si="75"/>
        <v>#REF!</v>
      </c>
      <c r="AI138" s="75" t="e">
        <f t="shared" si="75"/>
        <v>#REF!</v>
      </c>
      <c r="AJ138" s="75" t="e">
        <f t="shared" si="75"/>
        <v>#REF!</v>
      </c>
      <c r="AK138" s="75" t="e">
        <f t="shared" si="75"/>
        <v>#REF!</v>
      </c>
      <c r="AL138" s="75" t="e">
        <f t="shared" si="75"/>
        <v>#REF!</v>
      </c>
      <c r="AM138" s="75" t="e">
        <f t="shared" si="75"/>
        <v>#REF!</v>
      </c>
      <c r="AN138" s="75" t="e">
        <f t="shared" si="75"/>
        <v>#REF!</v>
      </c>
      <c r="AO138" s="75" t="e">
        <f t="shared" si="75"/>
        <v>#REF!</v>
      </c>
      <c r="AP138" s="75" t="e">
        <f t="shared" si="75"/>
        <v>#REF!</v>
      </c>
      <c r="AQ138" s="75" t="e">
        <f t="shared" si="75"/>
        <v>#REF!</v>
      </c>
      <c r="AR138" s="75" t="e">
        <f t="shared" si="75"/>
        <v>#REF!</v>
      </c>
      <c r="AS138" s="75" t="e">
        <f t="shared" si="75"/>
        <v>#REF!</v>
      </c>
      <c r="AT138" s="75" t="e">
        <f t="shared" si="75"/>
        <v>#REF!</v>
      </c>
      <c r="AU138" s="75" t="e">
        <f t="shared" si="75"/>
        <v>#REF!</v>
      </c>
      <c r="AV138" s="75" t="e">
        <f t="shared" si="75"/>
        <v>#REF!</v>
      </c>
      <c r="AW138" s="75" t="e">
        <f t="shared" si="75"/>
        <v>#REF!</v>
      </c>
      <c r="AX138" s="75" t="e">
        <f t="shared" si="75"/>
        <v>#REF!</v>
      </c>
      <c r="AY138" s="75" t="e">
        <f t="shared" si="75"/>
        <v>#REF!</v>
      </c>
      <c r="AZ138" s="75" t="e">
        <f t="shared" si="75"/>
        <v>#REF!</v>
      </c>
      <c r="BA138" s="75" t="e">
        <f t="shared" si="75"/>
        <v>#REF!</v>
      </c>
      <c r="BB138" s="75" t="e">
        <f t="shared" si="75"/>
        <v>#REF!</v>
      </c>
      <c r="BC138" s="75" t="e">
        <f t="shared" si="75"/>
        <v>#REF!</v>
      </c>
      <c r="BD138" s="75" t="e">
        <f t="shared" si="75"/>
        <v>#REF!</v>
      </c>
      <c r="BE138" s="75" t="e">
        <f t="shared" si="75"/>
        <v>#REF!</v>
      </c>
      <c r="BF138" s="75" t="e">
        <f t="shared" si="75"/>
        <v>#REF!</v>
      </c>
      <c r="BG138" s="75" t="e">
        <f t="shared" si="75"/>
        <v>#REF!</v>
      </c>
      <c r="BH138" s="75" t="e">
        <f t="shared" si="75"/>
        <v>#REF!</v>
      </c>
      <c r="BI138" s="75"/>
    </row>
    <row r="139" spans="1:61" s="79" customFormat="1" hidden="1" x14ac:dyDescent="0.2">
      <c r="B139" s="125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</row>
    <row r="140" spans="1:61" s="74" customFormat="1" hidden="1" x14ac:dyDescent="0.2">
      <c r="A140" s="74" t="s">
        <v>28</v>
      </c>
      <c r="B140" s="121"/>
      <c r="C140" s="75" t="e">
        <f>SUM(C8,C16:C17,C24:C25,C30,C40:C41,C49:C50,C76:C77,C82,C92:C93,C64,C69,C112)</f>
        <v>#REF!</v>
      </c>
      <c r="D140" s="75" t="e">
        <f t="shared" ref="D140:BH140" si="76">SUM(D8,D16:D17,D24:D25,D30,D40:D41,D49:D50,D76:D77,D82,D92:D93,D64,D69,D112)</f>
        <v>#REF!</v>
      </c>
      <c r="E140" s="75" t="e">
        <f t="shared" si="76"/>
        <v>#REF!</v>
      </c>
      <c r="F140" s="75" t="e">
        <f t="shared" si="76"/>
        <v>#REF!</v>
      </c>
      <c r="G140" s="75" t="e">
        <f t="shared" si="76"/>
        <v>#REF!</v>
      </c>
      <c r="H140" s="75" t="e">
        <f t="shared" si="76"/>
        <v>#REF!</v>
      </c>
      <c r="I140" s="75" t="e">
        <f t="shared" si="76"/>
        <v>#REF!</v>
      </c>
      <c r="J140" s="75" t="e">
        <f t="shared" si="76"/>
        <v>#REF!</v>
      </c>
      <c r="K140" s="75" t="e">
        <f t="shared" si="76"/>
        <v>#REF!</v>
      </c>
      <c r="L140" s="75" t="e">
        <f t="shared" si="76"/>
        <v>#REF!</v>
      </c>
      <c r="M140" s="75" t="e">
        <f t="shared" si="76"/>
        <v>#REF!</v>
      </c>
      <c r="N140" s="75" t="e">
        <f t="shared" si="76"/>
        <v>#REF!</v>
      </c>
      <c r="O140" s="75" t="e">
        <f t="shared" si="76"/>
        <v>#REF!</v>
      </c>
      <c r="P140" s="75" t="e">
        <f t="shared" si="76"/>
        <v>#REF!</v>
      </c>
      <c r="Q140" s="75" t="e">
        <f t="shared" si="76"/>
        <v>#REF!</v>
      </c>
      <c r="R140" s="75" t="e">
        <f t="shared" si="76"/>
        <v>#REF!</v>
      </c>
      <c r="S140" s="75" t="e">
        <f t="shared" si="76"/>
        <v>#REF!</v>
      </c>
      <c r="T140" s="75" t="e">
        <f t="shared" si="76"/>
        <v>#REF!</v>
      </c>
      <c r="U140" s="75" t="e">
        <f t="shared" si="76"/>
        <v>#REF!</v>
      </c>
      <c r="V140" s="75" t="e">
        <f t="shared" si="76"/>
        <v>#REF!</v>
      </c>
      <c r="W140" s="75" t="e">
        <f t="shared" si="76"/>
        <v>#REF!</v>
      </c>
      <c r="X140" s="75" t="e">
        <f t="shared" si="76"/>
        <v>#REF!</v>
      </c>
      <c r="Y140" s="75" t="e">
        <f t="shared" si="76"/>
        <v>#REF!</v>
      </c>
      <c r="Z140" s="75" t="e">
        <f t="shared" si="76"/>
        <v>#REF!</v>
      </c>
      <c r="AA140" s="75" t="e">
        <f t="shared" si="76"/>
        <v>#REF!</v>
      </c>
      <c r="AB140" s="75" t="e">
        <f t="shared" si="76"/>
        <v>#REF!</v>
      </c>
      <c r="AC140" s="75" t="e">
        <f t="shared" si="76"/>
        <v>#REF!</v>
      </c>
      <c r="AD140" s="75" t="e">
        <f t="shared" si="76"/>
        <v>#REF!</v>
      </c>
      <c r="AE140" s="75" t="e">
        <f t="shared" si="76"/>
        <v>#REF!</v>
      </c>
      <c r="AF140" s="75" t="e">
        <f t="shared" si="76"/>
        <v>#REF!</v>
      </c>
      <c r="AG140" s="75" t="e">
        <f t="shared" si="76"/>
        <v>#REF!</v>
      </c>
      <c r="AH140" s="75" t="e">
        <f t="shared" si="76"/>
        <v>#REF!</v>
      </c>
      <c r="AI140" s="75" t="e">
        <f t="shared" si="76"/>
        <v>#REF!</v>
      </c>
      <c r="AJ140" s="75" t="e">
        <f t="shared" si="76"/>
        <v>#REF!</v>
      </c>
      <c r="AK140" s="75" t="e">
        <f t="shared" si="76"/>
        <v>#REF!</v>
      </c>
      <c r="AL140" s="75" t="e">
        <f t="shared" si="76"/>
        <v>#REF!</v>
      </c>
      <c r="AM140" s="75" t="e">
        <f t="shared" si="76"/>
        <v>#REF!</v>
      </c>
      <c r="AN140" s="75" t="e">
        <f t="shared" si="76"/>
        <v>#REF!</v>
      </c>
      <c r="AO140" s="75" t="e">
        <f t="shared" si="76"/>
        <v>#REF!</v>
      </c>
      <c r="AP140" s="75" t="e">
        <f t="shared" si="76"/>
        <v>#REF!</v>
      </c>
      <c r="AQ140" s="75" t="e">
        <f t="shared" si="76"/>
        <v>#REF!</v>
      </c>
      <c r="AR140" s="75" t="e">
        <f t="shared" si="76"/>
        <v>#REF!</v>
      </c>
      <c r="AS140" s="75" t="e">
        <f t="shared" si="76"/>
        <v>#REF!</v>
      </c>
      <c r="AT140" s="75" t="e">
        <f t="shared" si="76"/>
        <v>#REF!</v>
      </c>
      <c r="AU140" s="75" t="e">
        <f t="shared" si="76"/>
        <v>#REF!</v>
      </c>
      <c r="AV140" s="75" t="e">
        <f t="shared" si="76"/>
        <v>#REF!</v>
      </c>
      <c r="AW140" s="75" t="e">
        <f t="shared" si="76"/>
        <v>#REF!</v>
      </c>
      <c r="AX140" s="75" t="e">
        <f t="shared" si="76"/>
        <v>#REF!</v>
      </c>
      <c r="AY140" s="75" t="e">
        <f t="shared" si="76"/>
        <v>#REF!</v>
      </c>
      <c r="AZ140" s="75" t="e">
        <f t="shared" si="76"/>
        <v>#REF!</v>
      </c>
      <c r="BA140" s="75" t="e">
        <f t="shared" si="76"/>
        <v>#REF!</v>
      </c>
      <c r="BB140" s="75" t="e">
        <f t="shared" si="76"/>
        <v>#REF!</v>
      </c>
      <c r="BC140" s="75" t="e">
        <f t="shared" si="76"/>
        <v>#REF!</v>
      </c>
      <c r="BD140" s="75" t="e">
        <f t="shared" si="76"/>
        <v>#REF!</v>
      </c>
      <c r="BE140" s="75" t="e">
        <f t="shared" si="76"/>
        <v>#REF!</v>
      </c>
      <c r="BF140" s="75" t="e">
        <f t="shared" si="76"/>
        <v>#REF!</v>
      </c>
      <c r="BG140" s="75" t="e">
        <f t="shared" si="76"/>
        <v>#REF!</v>
      </c>
      <c r="BH140" s="75" t="e">
        <f t="shared" si="76"/>
        <v>#REF!</v>
      </c>
      <c r="BI140" s="75"/>
    </row>
    <row r="141" spans="1:61" hidden="1" x14ac:dyDescent="0.2">
      <c r="A141" t="s">
        <v>463</v>
      </c>
      <c r="B141" s="31"/>
      <c r="C141" s="10" t="e">
        <f t="shared" ref="C141:BH141" si="77">C135-C140</f>
        <v>#REF!</v>
      </c>
      <c r="D141" s="10" t="e">
        <f t="shared" si="77"/>
        <v>#REF!</v>
      </c>
      <c r="E141" s="10" t="e">
        <f t="shared" si="77"/>
        <v>#REF!</v>
      </c>
      <c r="F141" s="10" t="e">
        <f t="shared" si="77"/>
        <v>#REF!</v>
      </c>
      <c r="G141" s="10" t="e">
        <f t="shared" si="77"/>
        <v>#REF!</v>
      </c>
      <c r="H141" s="10" t="e">
        <f t="shared" si="77"/>
        <v>#REF!</v>
      </c>
      <c r="I141" s="10" t="e">
        <f t="shared" si="77"/>
        <v>#REF!</v>
      </c>
      <c r="J141" s="10" t="e">
        <f t="shared" si="77"/>
        <v>#REF!</v>
      </c>
      <c r="K141" s="10" t="e">
        <f t="shared" si="77"/>
        <v>#REF!</v>
      </c>
      <c r="L141" s="10" t="e">
        <f t="shared" si="77"/>
        <v>#REF!</v>
      </c>
      <c r="M141" s="10" t="e">
        <f t="shared" si="77"/>
        <v>#REF!</v>
      </c>
      <c r="N141" s="10" t="e">
        <f t="shared" si="77"/>
        <v>#REF!</v>
      </c>
      <c r="O141" s="10" t="e">
        <f t="shared" si="77"/>
        <v>#REF!</v>
      </c>
      <c r="P141" s="10" t="e">
        <f t="shared" si="77"/>
        <v>#REF!</v>
      </c>
      <c r="Q141" s="10" t="e">
        <f t="shared" si="77"/>
        <v>#REF!</v>
      </c>
      <c r="R141" s="10" t="e">
        <f t="shared" si="77"/>
        <v>#REF!</v>
      </c>
      <c r="S141" s="10" t="e">
        <f t="shared" si="77"/>
        <v>#REF!</v>
      </c>
      <c r="T141" s="10" t="e">
        <f t="shared" si="77"/>
        <v>#REF!</v>
      </c>
      <c r="U141" s="10" t="e">
        <f t="shared" si="77"/>
        <v>#REF!</v>
      </c>
      <c r="V141" s="10" t="e">
        <f t="shared" si="77"/>
        <v>#REF!</v>
      </c>
      <c r="W141" s="10" t="e">
        <f t="shared" si="77"/>
        <v>#REF!</v>
      </c>
      <c r="X141" s="10" t="e">
        <f t="shared" si="77"/>
        <v>#REF!</v>
      </c>
      <c r="Y141" s="10" t="e">
        <f t="shared" si="77"/>
        <v>#REF!</v>
      </c>
      <c r="Z141" s="10" t="e">
        <f t="shared" si="77"/>
        <v>#REF!</v>
      </c>
      <c r="AA141" s="10" t="e">
        <f t="shared" si="77"/>
        <v>#REF!</v>
      </c>
      <c r="AB141" s="10" t="e">
        <f t="shared" si="77"/>
        <v>#REF!</v>
      </c>
      <c r="AC141" s="10" t="e">
        <f t="shared" si="77"/>
        <v>#REF!</v>
      </c>
      <c r="AD141" s="10" t="e">
        <f t="shared" si="77"/>
        <v>#REF!</v>
      </c>
      <c r="AE141" s="10" t="e">
        <f t="shared" si="77"/>
        <v>#REF!</v>
      </c>
      <c r="AF141" s="10" t="e">
        <f t="shared" si="77"/>
        <v>#REF!</v>
      </c>
      <c r="AG141" s="10" t="e">
        <f t="shared" si="77"/>
        <v>#REF!</v>
      </c>
      <c r="AH141" s="10" t="e">
        <f t="shared" si="77"/>
        <v>#REF!</v>
      </c>
      <c r="AI141" s="10" t="e">
        <f t="shared" si="77"/>
        <v>#REF!</v>
      </c>
      <c r="AJ141" s="10" t="e">
        <f t="shared" si="77"/>
        <v>#REF!</v>
      </c>
      <c r="AK141" s="10" t="e">
        <f t="shared" si="77"/>
        <v>#REF!</v>
      </c>
      <c r="AL141" s="10" t="e">
        <f t="shared" si="77"/>
        <v>#REF!</v>
      </c>
      <c r="AM141" s="10" t="e">
        <f t="shared" si="77"/>
        <v>#REF!</v>
      </c>
      <c r="AN141" s="10" t="e">
        <f t="shared" si="77"/>
        <v>#REF!</v>
      </c>
      <c r="AO141" s="10" t="e">
        <f t="shared" si="77"/>
        <v>#REF!</v>
      </c>
      <c r="AP141" s="10" t="e">
        <f t="shared" si="77"/>
        <v>#REF!</v>
      </c>
      <c r="AQ141" s="10" t="e">
        <f t="shared" si="77"/>
        <v>#REF!</v>
      </c>
      <c r="AR141" s="10" t="e">
        <f t="shared" si="77"/>
        <v>#REF!</v>
      </c>
      <c r="AS141" s="10" t="e">
        <f t="shared" si="77"/>
        <v>#REF!</v>
      </c>
      <c r="AT141" s="10" t="e">
        <f t="shared" si="77"/>
        <v>#REF!</v>
      </c>
      <c r="AU141" s="10" t="e">
        <f t="shared" si="77"/>
        <v>#REF!</v>
      </c>
      <c r="AV141" s="10" t="e">
        <f t="shared" si="77"/>
        <v>#REF!</v>
      </c>
      <c r="AW141" s="10" t="e">
        <f t="shared" si="77"/>
        <v>#REF!</v>
      </c>
      <c r="AX141" s="10" t="e">
        <f t="shared" si="77"/>
        <v>#REF!</v>
      </c>
      <c r="AY141" s="10" t="e">
        <f t="shared" si="77"/>
        <v>#REF!</v>
      </c>
      <c r="AZ141" s="10" t="e">
        <f t="shared" si="77"/>
        <v>#REF!</v>
      </c>
      <c r="BA141" s="10" t="e">
        <f t="shared" si="77"/>
        <v>#REF!</v>
      </c>
      <c r="BB141" s="10" t="e">
        <f t="shared" si="77"/>
        <v>#REF!</v>
      </c>
      <c r="BC141" s="10" t="e">
        <f t="shared" si="77"/>
        <v>#REF!</v>
      </c>
      <c r="BD141" s="10" t="e">
        <f t="shared" si="77"/>
        <v>#REF!</v>
      </c>
      <c r="BE141" s="10" t="e">
        <f t="shared" si="77"/>
        <v>#REF!</v>
      </c>
      <c r="BF141" s="10" t="e">
        <f t="shared" si="77"/>
        <v>#REF!</v>
      </c>
      <c r="BG141" s="10" t="e">
        <f t="shared" si="77"/>
        <v>#REF!</v>
      </c>
      <c r="BH141" s="10" t="e">
        <f t="shared" si="77"/>
        <v>#REF!</v>
      </c>
      <c r="BI141" s="10"/>
    </row>
    <row r="142" spans="1:61" hidden="1" x14ac:dyDescent="0.2">
      <c r="A142" t="s">
        <v>29</v>
      </c>
      <c r="B142" s="31"/>
      <c r="C142" s="10" t="e">
        <f>C141</f>
        <v>#REF!</v>
      </c>
      <c r="D142" s="10" t="e">
        <f>SUM($C141:D141)</f>
        <v>#REF!</v>
      </c>
      <c r="E142" s="10" t="e">
        <f>SUM($C141:E141)</f>
        <v>#REF!</v>
      </c>
      <c r="F142" s="10" t="e">
        <f>SUM($C141:F141)</f>
        <v>#REF!</v>
      </c>
      <c r="G142" s="10" t="e">
        <f>SUM($C141:G141)</f>
        <v>#REF!</v>
      </c>
      <c r="H142" s="10" t="e">
        <f>SUM($C141:H141)</f>
        <v>#REF!</v>
      </c>
      <c r="I142" s="10" t="e">
        <f>SUM($C141:I141)</f>
        <v>#REF!</v>
      </c>
      <c r="J142" s="10" t="e">
        <f>SUM($C141:J141)</f>
        <v>#REF!</v>
      </c>
      <c r="K142" s="10" t="e">
        <f>SUM($C141:K141)</f>
        <v>#REF!</v>
      </c>
      <c r="L142" s="10" t="e">
        <f>SUM($C141:L141)</f>
        <v>#REF!</v>
      </c>
      <c r="M142" s="10" t="e">
        <f>SUM($C141:M141)</f>
        <v>#REF!</v>
      </c>
      <c r="N142" s="10" t="e">
        <f>SUM($C141:N141)</f>
        <v>#REF!</v>
      </c>
      <c r="O142" s="10" t="e">
        <f>SUM($C141:O141)</f>
        <v>#REF!</v>
      </c>
      <c r="P142" s="10" t="e">
        <f>SUM($C141:P141)</f>
        <v>#REF!</v>
      </c>
      <c r="Q142" s="10" t="e">
        <f>SUM($C141:Q141)</f>
        <v>#REF!</v>
      </c>
      <c r="R142" s="10" t="e">
        <f>SUM($C141:R141)</f>
        <v>#REF!</v>
      </c>
      <c r="S142" s="10" t="e">
        <f>SUM($C141:S141)</f>
        <v>#REF!</v>
      </c>
      <c r="T142" s="10" t="e">
        <f>SUM($C141:T141)</f>
        <v>#REF!</v>
      </c>
      <c r="U142" s="10" t="e">
        <f>SUM($C141:U141)</f>
        <v>#REF!</v>
      </c>
      <c r="V142" s="10" t="e">
        <f>SUM($C141:V141)</f>
        <v>#REF!</v>
      </c>
      <c r="W142" s="10" t="e">
        <f>SUM($C141:W141)</f>
        <v>#REF!</v>
      </c>
      <c r="X142" s="10" t="e">
        <f>SUM($C141:X141)</f>
        <v>#REF!</v>
      </c>
      <c r="Y142" s="10" t="e">
        <f>SUM($C141:Y141)</f>
        <v>#REF!</v>
      </c>
      <c r="Z142" s="10" t="e">
        <f>SUM($C141:Z141)</f>
        <v>#REF!</v>
      </c>
      <c r="AA142" s="10" t="e">
        <f>SUM($C141:AA141)</f>
        <v>#REF!</v>
      </c>
      <c r="AB142" s="10" t="e">
        <f>SUM($C141:AB141)</f>
        <v>#REF!</v>
      </c>
      <c r="AC142" s="10" t="e">
        <f>SUM($C141:AC141)</f>
        <v>#REF!</v>
      </c>
      <c r="AD142" s="10" t="e">
        <f>SUM($C141:AD141)</f>
        <v>#REF!</v>
      </c>
      <c r="AE142" s="10" t="e">
        <f>SUM($C141:AE141)</f>
        <v>#REF!</v>
      </c>
      <c r="AF142" s="10" t="e">
        <f>SUM($C141:AF141)</f>
        <v>#REF!</v>
      </c>
      <c r="AG142" s="10" t="e">
        <f>SUM($C141:AG141)</f>
        <v>#REF!</v>
      </c>
      <c r="AH142" s="10" t="e">
        <f>SUM($C141:AH141)</f>
        <v>#REF!</v>
      </c>
      <c r="AI142" s="10" t="e">
        <f>SUM($C141:AI141)</f>
        <v>#REF!</v>
      </c>
      <c r="AJ142" s="10" t="e">
        <f>SUM($C141:AJ141)</f>
        <v>#REF!</v>
      </c>
      <c r="AK142" s="10" t="e">
        <f>SUM($C141:AK141)</f>
        <v>#REF!</v>
      </c>
      <c r="AL142" s="10" t="e">
        <f>SUM($C141:AL141)</f>
        <v>#REF!</v>
      </c>
      <c r="AM142" s="10" t="e">
        <f>SUM($C141:AM141)</f>
        <v>#REF!</v>
      </c>
      <c r="AN142" s="10" t="e">
        <f>SUM($C141:AN141)</f>
        <v>#REF!</v>
      </c>
      <c r="AO142" s="10" t="e">
        <f>SUM($C141:AO141)</f>
        <v>#REF!</v>
      </c>
      <c r="AP142" s="10" t="e">
        <f>SUM($C141:AP141)</f>
        <v>#REF!</v>
      </c>
      <c r="AQ142" s="10" t="e">
        <f>SUM($C141:AQ141)</f>
        <v>#REF!</v>
      </c>
      <c r="AR142" s="10" t="e">
        <f>SUM($C141:AR141)</f>
        <v>#REF!</v>
      </c>
      <c r="AS142" s="10" t="e">
        <f>SUM($C141:AS141)</f>
        <v>#REF!</v>
      </c>
      <c r="AT142" s="10" t="e">
        <f>SUM($C141:AT141)</f>
        <v>#REF!</v>
      </c>
      <c r="AU142" s="10" t="e">
        <f>SUM($C141:AU141)</f>
        <v>#REF!</v>
      </c>
      <c r="AV142" s="10" t="e">
        <f>SUM($C141:AV141)</f>
        <v>#REF!</v>
      </c>
      <c r="AW142" s="10" t="e">
        <f>SUM($C141:AW141)</f>
        <v>#REF!</v>
      </c>
      <c r="AX142" s="10" t="e">
        <f>SUM($C141:AX141)</f>
        <v>#REF!</v>
      </c>
      <c r="AY142" s="10" t="e">
        <f>SUM($C141:AY141)</f>
        <v>#REF!</v>
      </c>
      <c r="AZ142" s="10" t="e">
        <f>SUM($C141:AZ141)</f>
        <v>#REF!</v>
      </c>
      <c r="BA142" s="10" t="e">
        <f>SUM($C141:BA141)</f>
        <v>#REF!</v>
      </c>
      <c r="BB142" s="10" t="e">
        <f>SUM($C141:BB141)</f>
        <v>#REF!</v>
      </c>
      <c r="BC142" s="10" t="e">
        <f>SUM($C141:BC141)</f>
        <v>#REF!</v>
      </c>
      <c r="BD142" s="10" t="e">
        <f>SUM($C141:BD141)</f>
        <v>#REF!</v>
      </c>
      <c r="BE142" s="10" t="e">
        <f>SUM($C141:BE141)</f>
        <v>#REF!</v>
      </c>
      <c r="BF142" s="10" t="e">
        <f>SUM($C141:BF141)</f>
        <v>#REF!</v>
      </c>
      <c r="BG142" s="10" t="e">
        <f>SUM($C141:BG141)</f>
        <v>#REF!</v>
      </c>
      <c r="BH142" s="10" t="e">
        <f>SUM($C141:BH141)</f>
        <v>#REF!</v>
      </c>
      <c r="BI142" s="10"/>
    </row>
    <row r="143" spans="1:61" hidden="1" x14ac:dyDescent="0.2">
      <c r="A143" s="6" t="s">
        <v>30</v>
      </c>
      <c r="B143" s="126"/>
      <c r="C143" s="10" t="e">
        <f t="shared" ref="C143:BH143" si="78">IF(C135-C140&gt;0,C135-C140,0)</f>
        <v>#REF!</v>
      </c>
      <c r="D143" s="10" t="e">
        <f t="shared" si="78"/>
        <v>#REF!</v>
      </c>
      <c r="E143" s="10" t="e">
        <f t="shared" si="78"/>
        <v>#REF!</v>
      </c>
      <c r="F143" s="10" t="e">
        <f t="shared" si="78"/>
        <v>#REF!</v>
      </c>
      <c r="G143" s="10" t="e">
        <f t="shared" si="78"/>
        <v>#REF!</v>
      </c>
      <c r="H143" s="10" t="e">
        <f t="shared" si="78"/>
        <v>#REF!</v>
      </c>
      <c r="I143" s="10" t="e">
        <f t="shared" si="78"/>
        <v>#REF!</v>
      </c>
      <c r="J143" s="10" t="e">
        <f t="shared" si="78"/>
        <v>#REF!</v>
      </c>
      <c r="K143" s="10" t="e">
        <f t="shared" si="78"/>
        <v>#REF!</v>
      </c>
      <c r="L143" s="10" t="e">
        <f t="shared" si="78"/>
        <v>#REF!</v>
      </c>
      <c r="M143" s="10" t="e">
        <f t="shared" si="78"/>
        <v>#REF!</v>
      </c>
      <c r="N143" s="10" t="e">
        <f t="shared" si="78"/>
        <v>#REF!</v>
      </c>
      <c r="O143" s="10" t="e">
        <f t="shared" si="78"/>
        <v>#REF!</v>
      </c>
      <c r="P143" s="10" t="e">
        <f t="shared" si="78"/>
        <v>#REF!</v>
      </c>
      <c r="Q143" s="10" t="e">
        <f t="shared" si="78"/>
        <v>#REF!</v>
      </c>
      <c r="R143" s="10" t="e">
        <f t="shared" si="78"/>
        <v>#REF!</v>
      </c>
      <c r="S143" s="10" t="e">
        <f t="shared" si="78"/>
        <v>#REF!</v>
      </c>
      <c r="T143" s="10" t="e">
        <f t="shared" si="78"/>
        <v>#REF!</v>
      </c>
      <c r="U143" s="10" t="e">
        <f t="shared" si="78"/>
        <v>#REF!</v>
      </c>
      <c r="V143" s="10" t="e">
        <f t="shared" si="78"/>
        <v>#REF!</v>
      </c>
      <c r="W143" s="10" t="e">
        <f t="shared" si="78"/>
        <v>#REF!</v>
      </c>
      <c r="X143" s="10" t="e">
        <f t="shared" si="78"/>
        <v>#REF!</v>
      </c>
      <c r="Y143" s="10" t="e">
        <f t="shared" si="78"/>
        <v>#REF!</v>
      </c>
      <c r="Z143" s="10" t="e">
        <f t="shared" si="78"/>
        <v>#REF!</v>
      </c>
      <c r="AA143" s="10" t="e">
        <f t="shared" si="78"/>
        <v>#REF!</v>
      </c>
      <c r="AB143" s="10" t="e">
        <f t="shared" si="78"/>
        <v>#REF!</v>
      </c>
      <c r="AC143" s="10" t="e">
        <f t="shared" si="78"/>
        <v>#REF!</v>
      </c>
      <c r="AD143" s="10" t="e">
        <f t="shared" si="78"/>
        <v>#REF!</v>
      </c>
      <c r="AE143" s="10" t="e">
        <f t="shared" si="78"/>
        <v>#REF!</v>
      </c>
      <c r="AF143" s="10" t="e">
        <f t="shared" si="78"/>
        <v>#REF!</v>
      </c>
      <c r="AG143" s="10" t="e">
        <f t="shared" si="78"/>
        <v>#REF!</v>
      </c>
      <c r="AH143" s="10" t="e">
        <f t="shared" si="78"/>
        <v>#REF!</v>
      </c>
      <c r="AI143" s="10" t="e">
        <f t="shared" si="78"/>
        <v>#REF!</v>
      </c>
      <c r="AJ143" s="10" t="e">
        <f t="shared" si="78"/>
        <v>#REF!</v>
      </c>
      <c r="AK143" s="10" t="e">
        <f t="shared" si="78"/>
        <v>#REF!</v>
      </c>
      <c r="AL143" s="10" t="e">
        <f t="shared" si="78"/>
        <v>#REF!</v>
      </c>
      <c r="AM143" s="10" t="e">
        <f t="shared" si="78"/>
        <v>#REF!</v>
      </c>
      <c r="AN143" s="10" t="e">
        <f t="shared" si="78"/>
        <v>#REF!</v>
      </c>
      <c r="AO143" s="10" t="e">
        <f t="shared" si="78"/>
        <v>#REF!</v>
      </c>
      <c r="AP143" s="10" t="e">
        <f t="shared" si="78"/>
        <v>#REF!</v>
      </c>
      <c r="AQ143" s="10" t="e">
        <f t="shared" si="78"/>
        <v>#REF!</v>
      </c>
      <c r="AR143" s="10" t="e">
        <f t="shared" si="78"/>
        <v>#REF!</v>
      </c>
      <c r="AS143" s="10" t="e">
        <f t="shared" si="78"/>
        <v>#REF!</v>
      </c>
      <c r="AT143" s="10" t="e">
        <f t="shared" si="78"/>
        <v>#REF!</v>
      </c>
      <c r="AU143" s="10" t="e">
        <f t="shared" si="78"/>
        <v>#REF!</v>
      </c>
      <c r="AV143" s="10" t="e">
        <f t="shared" si="78"/>
        <v>#REF!</v>
      </c>
      <c r="AW143" s="10" t="e">
        <f t="shared" si="78"/>
        <v>#REF!</v>
      </c>
      <c r="AX143" s="10" t="e">
        <f t="shared" si="78"/>
        <v>#REF!</v>
      </c>
      <c r="AY143" s="10" t="e">
        <f t="shared" si="78"/>
        <v>#REF!</v>
      </c>
      <c r="AZ143" s="10" t="e">
        <f t="shared" si="78"/>
        <v>#REF!</v>
      </c>
      <c r="BA143" s="10" t="e">
        <f t="shared" si="78"/>
        <v>#REF!</v>
      </c>
      <c r="BB143" s="10" t="e">
        <f t="shared" si="78"/>
        <v>#REF!</v>
      </c>
      <c r="BC143" s="10" t="e">
        <f t="shared" si="78"/>
        <v>#REF!</v>
      </c>
      <c r="BD143" s="10" t="e">
        <f t="shared" si="78"/>
        <v>#REF!</v>
      </c>
      <c r="BE143" s="10" t="e">
        <f t="shared" si="78"/>
        <v>#REF!</v>
      </c>
      <c r="BF143" s="10" t="e">
        <f t="shared" si="78"/>
        <v>#REF!</v>
      </c>
      <c r="BG143" s="10" t="e">
        <f t="shared" si="78"/>
        <v>#REF!</v>
      </c>
      <c r="BH143" s="10" t="e">
        <f t="shared" si="78"/>
        <v>#REF!</v>
      </c>
      <c r="BI143" s="10"/>
    </row>
    <row r="144" spans="1:61" hidden="1" x14ac:dyDescent="0.2">
      <c r="A144" t="s">
        <v>31</v>
      </c>
      <c r="B144" s="31"/>
      <c r="C144" s="10" t="e">
        <f>IF(C142&lt;0,SUM(C136)-C142,0)</f>
        <v>#REF!</v>
      </c>
      <c r="D144" s="10" t="e">
        <f>IF(SUM($C136:D136)-D142&gt;C144,SUM($C136:D136)-D142,C144)</f>
        <v>#REF!</v>
      </c>
      <c r="E144" s="10" t="e">
        <f>IF(SUM($C136:E136)-E142&gt;D144,SUM($C136:E136)-E142,D144)</f>
        <v>#REF!</v>
      </c>
      <c r="F144" s="10" t="e">
        <f>IF(SUM($C136:F136)-F142&gt;E144,SUM($C136:F136)-F142,E144)</f>
        <v>#REF!</v>
      </c>
      <c r="G144" s="10" t="e">
        <f>IF(SUM($C136:G136)-G142&gt;F144,SUM($C136:G136)-G142,F144)</f>
        <v>#REF!</v>
      </c>
      <c r="H144" s="10" t="e">
        <f>IF(SUM($C136:H136)-H142&gt;G144,SUM($C136:H136)-H142,G144)</f>
        <v>#REF!</v>
      </c>
      <c r="I144" s="10" t="e">
        <f>IF(SUM($C136:I136)-I142&gt;H144,SUM($C136:I136)-I142,H144)</f>
        <v>#REF!</v>
      </c>
      <c r="J144" s="10" t="e">
        <f>IF(SUM($C136:J136)-J142&gt;I144,SUM($C136:J136)-J142,I144)</f>
        <v>#REF!</v>
      </c>
      <c r="K144" s="10" t="e">
        <f>IF(SUM($C136:K136)-K142&gt;J144,SUM($C136:K136)-K142,J144)</f>
        <v>#REF!</v>
      </c>
      <c r="L144" s="10" t="e">
        <f>IF(SUM($C136:L136)-L142&gt;K144,SUM($C136:L136)-L142,K144)</f>
        <v>#REF!</v>
      </c>
      <c r="M144" s="10" t="e">
        <f>IF(SUM($C136:M136)-M142&gt;L144,SUM($C136:M136)-M142,L144)</f>
        <v>#REF!</v>
      </c>
      <c r="N144" s="10" t="e">
        <f>IF(SUM($C136:N136)-N142&gt;M144,SUM($C136:N136)-N142,M144)</f>
        <v>#REF!</v>
      </c>
      <c r="O144" s="10" t="e">
        <f>IF(SUM($C136:O136)-O142&gt;N144,SUM($C136:O136)-O142,N144)</f>
        <v>#REF!</v>
      </c>
      <c r="P144" s="10" t="e">
        <f>IF(SUM($C136:P136)-P142&gt;O144,SUM($C136:P136)-P142,O144)</f>
        <v>#REF!</v>
      </c>
      <c r="Q144" s="10" t="e">
        <f>IF(SUM($C136:Q136)-Q142&gt;P144,SUM($C136:Q136)-Q142,P144)</f>
        <v>#REF!</v>
      </c>
      <c r="R144" s="10" t="e">
        <f>IF(SUM($C136:R136)-R142&gt;Q144,SUM($C136:R136)-R142,Q144)</f>
        <v>#REF!</v>
      </c>
      <c r="S144" s="10" t="e">
        <f>IF(SUM($C136:S136)-S142&gt;R144,SUM($C136:S136)-S142,R144)</f>
        <v>#REF!</v>
      </c>
      <c r="T144" s="10" t="e">
        <f>IF(SUM($C136:T136)-T142&gt;S144,SUM($C136:T136)-T142,S144)</f>
        <v>#REF!</v>
      </c>
      <c r="U144" s="10" t="e">
        <f>IF(SUM($C136:U136)-U142&gt;T144,SUM($C136:U136)-U142,T144)</f>
        <v>#REF!</v>
      </c>
      <c r="V144" s="10" t="e">
        <f>IF(SUM($C136:V136)-V142&gt;U144,SUM($C136:V136)-V142,U144)</f>
        <v>#REF!</v>
      </c>
      <c r="W144" s="10" t="e">
        <f>IF(SUM($C136:W136)-W142&gt;V144,SUM($C136:W136)-W142,V144)</f>
        <v>#REF!</v>
      </c>
      <c r="X144" s="10" t="e">
        <f>IF(SUM($C136:X136)-X142&gt;W144,SUM($C136:X136)-X142,W144)</f>
        <v>#REF!</v>
      </c>
      <c r="Y144" s="10" t="e">
        <f>IF(SUM($C136:Y136)-Y142&gt;X144,SUM($C136:Y136)-Y142,X144)</f>
        <v>#REF!</v>
      </c>
      <c r="Z144" s="10" t="e">
        <f>IF(SUM($C136:Z136)-Z142&gt;Y144,SUM($C136:Z136)-Z142,Y144)</f>
        <v>#REF!</v>
      </c>
      <c r="AA144" s="10" t="e">
        <f>IF(SUM($C136:AA136)-AA142&gt;Z144,SUM($C136:AA136)-AA142,Z144)</f>
        <v>#REF!</v>
      </c>
      <c r="AB144" s="10" t="e">
        <f>IF(SUM($C136:AB136)-AB142&gt;AA144,SUM($C136:AB136)-AB142,AA144)</f>
        <v>#REF!</v>
      </c>
      <c r="AC144" s="10" t="e">
        <f>IF(SUM($C136:AC136)-AC142&gt;AB144,SUM($C136:AC136)-AC142,AB144)</f>
        <v>#REF!</v>
      </c>
      <c r="AD144" s="10" t="e">
        <f>IF(SUM($C136:AD136)-AD142&gt;AC144,SUM($C136:AD136)-AD142,AC144)</f>
        <v>#REF!</v>
      </c>
      <c r="AE144" s="10" t="e">
        <f>IF(SUM($C136:AE136)-AE142&gt;AD144,SUM($C136:AE136)-AE142,AD144)</f>
        <v>#REF!</v>
      </c>
      <c r="AF144" s="10" t="e">
        <f>IF(SUM($C136:AF136)-AF142&gt;AE144,SUM($C136:AF136)-AF142,AE144)</f>
        <v>#REF!</v>
      </c>
      <c r="AG144" s="10" t="e">
        <f>IF(SUM($C136:AG136)-AG142&gt;AF144,SUM($C136:AG136)-AG142,AF144)</f>
        <v>#REF!</v>
      </c>
      <c r="AH144" s="10" t="e">
        <f>IF(SUM($C136:AH136)-AH142&gt;AG144,SUM($C136:AH136)-AH142,AG144)</f>
        <v>#REF!</v>
      </c>
      <c r="AI144" s="10" t="e">
        <f>IF(SUM($C136:AI136)-AI142&gt;AH144,SUM($C136:AI136)-AI142,AH144)</f>
        <v>#REF!</v>
      </c>
      <c r="AJ144" s="10" t="e">
        <f>IF(SUM($C136:AJ136)-AJ142&gt;AI144,SUM($C136:AJ136)-AJ142,AI144)</f>
        <v>#REF!</v>
      </c>
      <c r="AK144" s="10" t="e">
        <f>IF(SUM($C136:AK136)-AK142&gt;AJ144,SUM($C136:AK136)-AK142,AJ144)</f>
        <v>#REF!</v>
      </c>
      <c r="AL144" s="10" t="e">
        <f>IF(SUM($C136:AL136)-AL142&gt;AK144,SUM($C136:AL136)-AL142,AK144)</f>
        <v>#REF!</v>
      </c>
      <c r="AM144" s="10" t="e">
        <f>IF(SUM($C136:AM136)-AM142&gt;AL144,SUM($C136:AM136)-AM142,AL144)</f>
        <v>#REF!</v>
      </c>
      <c r="AN144" s="10" t="e">
        <f>IF(SUM($C136:AN136)-AN142&gt;AM144,SUM($C136:AN136)-AN142,AM144)</f>
        <v>#REF!</v>
      </c>
      <c r="AO144" s="10" t="e">
        <f>IF(SUM($C136:AO136)-AO142&gt;AN144,SUM($C136:AO136)-AO142,AN144)</f>
        <v>#REF!</v>
      </c>
      <c r="AP144" s="10" t="e">
        <f>IF(SUM($C136:AP136)-AP142&gt;AO144,SUM($C136:AP136)-AP142,AO144)</f>
        <v>#REF!</v>
      </c>
      <c r="AQ144" s="10" t="e">
        <f>IF(SUM($C136:AQ136)-AQ142&gt;AP144,SUM($C136:AQ136)-AQ142,AP144)</f>
        <v>#REF!</v>
      </c>
      <c r="AR144" s="10" t="e">
        <f>IF(SUM($C136:AR136)-AR142&gt;AQ144,SUM($C136:AR136)-AR142,AQ144)</f>
        <v>#REF!</v>
      </c>
      <c r="AS144" s="10" t="e">
        <f>IF(SUM($C136:AS136)-AS142&gt;AR144,SUM($C136:AS136)-AS142,AR144)</f>
        <v>#REF!</v>
      </c>
      <c r="AT144" s="10" t="e">
        <f>IF(SUM($C136:AT136)-AT142&gt;AS144,SUM($C136:AT136)-AT142,AS144)</f>
        <v>#REF!</v>
      </c>
      <c r="AU144" s="10" t="e">
        <f>IF(SUM($C136:AU136)-AU142&gt;AT144,SUM($C136:AU136)-AU142,AT144)</f>
        <v>#REF!</v>
      </c>
      <c r="AV144" s="10" t="e">
        <f>IF(SUM($C136:AV136)-AV142&gt;AU144,SUM($C136:AV136)-AV142,AU144)</f>
        <v>#REF!</v>
      </c>
      <c r="AW144" s="10" t="e">
        <f>IF(SUM($C136:AW136)-AW142&gt;AV144,SUM($C136:AW136)-AW142,AV144)</f>
        <v>#REF!</v>
      </c>
      <c r="AX144" s="10" t="e">
        <f>IF(SUM($C136:AX136)-AX142&gt;AW144,SUM($C136:AX136)-AX142,AW144)</f>
        <v>#REF!</v>
      </c>
      <c r="AY144" s="10" t="e">
        <f>IF(SUM($C136:AY136)-AY142&gt;AX144,SUM($C136:AY136)-AY142,AX144)</f>
        <v>#REF!</v>
      </c>
      <c r="AZ144" s="10" t="e">
        <f>IF(SUM($C136:AZ136)-AZ142&gt;AY144,SUM($C136:AZ136)-AZ142,AY144)</f>
        <v>#REF!</v>
      </c>
      <c r="BA144" s="10" t="e">
        <f>IF(SUM($C136:BA136)-BA142&gt;AZ144,SUM($C136:BA136)-BA142,AZ144)</f>
        <v>#REF!</v>
      </c>
      <c r="BB144" s="10" t="e">
        <f>IF(SUM($C136:BB136)-BB142&gt;BA144,SUM($C136:BB136)-BB142,BA144)</f>
        <v>#REF!</v>
      </c>
      <c r="BC144" s="10" t="e">
        <f>IF(SUM($C136:BC136)-BC142&gt;BB144,SUM($C136:BC136)-BC142,BB144)</f>
        <v>#REF!</v>
      </c>
      <c r="BD144" s="10" t="e">
        <f>IF(SUM($C136:BD136)-BD142&gt;BC144,SUM($C136:BD136)-BD142,BC144)</f>
        <v>#REF!</v>
      </c>
      <c r="BE144" s="10" t="e">
        <f>IF(SUM($C136:BE136)-BE142&gt;BD144,SUM($C136:BE136)-BE142,BD144)</f>
        <v>#REF!</v>
      </c>
      <c r="BF144" s="10" t="e">
        <f>IF(SUM($C136:BF136)-BF142&gt;BE144,SUM($C136:BF136)-BF142,BE144)</f>
        <v>#REF!</v>
      </c>
      <c r="BG144" s="10" t="e">
        <f>IF(SUM($C136:BG136)-BG142&gt;BF144,SUM($C136:BG136)-BG142,BF144)</f>
        <v>#REF!</v>
      </c>
      <c r="BH144" s="10" t="e">
        <f>IF(SUM($C136:BH136)-BH142&gt;BG144,SUM($C136:BH136)-BH142,BG144)</f>
        <v>#REF!</v>
      </c>
      <c r="BI144" s="10"/>
    </row>
    <row r="145" spans="1:61" s="74" customFormat="1" hidden="1" x14ac:dyDescent="0.2">
      <c r="A145" s="74" t="s">
        <v>562</v>
      </c>
      <c r="B145" s="121">
        <v>1.4999999999999999E-2</v>
      </c>
      <c r="C145" s="121">
        <f xml:space="preserve"> 1 + B145</f>
        <v>1.0149999999999999</v>
      </c>
      <c r="D145" s="121">
        <f xml:space="preserve"> (1 + $B145) * C145</f>
        <v>1.0302249999999997</v>
      </c>
      <c r="E145" s="121">
        <f xml:space="preserve"> (1 + $B145) * D145</f>
        <v>1.0456783749999996</v>
      </c>
      <c r="F145" s="121">
        <f xml:space="preserve"> (1 + $B145) * E145</f>
        <v>1.0613635506249994</v>
      </c>
      <c r="G145" s="121">
        <f t="shared" ref="G145:BH145" si="79" xml:space="preserve"> (1 + $B145) * F145</f>
        <v>1.0772840038843743</v>
      </c>
      <c r="H145" s="121">
        <f t="shared" si="79"/>
        <v>1.0934432639426397</v>
      </c>
      <c r="I145" s="121">
        <f t="shared" si="79"/>
        <v>1.1098449129017791</v>
      </c>
      <c r="J145" s="121">
        <f t="shared" si="79"/>
        <v>1.1264925865953057</v>
      </c>
      <c r="K145" s="121">
        <f t="shared" si="79"/>
        <v>1.1433899753942351</v>
      </c>
      <c r="L145" s="121">
        <f t="shared" si="79"/>
        <v>1.1605408250251485</v>
      </c>
      <c r="M145" s="121">
        <f t="shared" si="79"/>
        <v>1.1779489374005256</v>
      </c>
      <c r="N145" s="121">
        <f t="shared" si="79"/>
        <v>1.1956181714615335</v>
      </c>
      <c r="O145" s="121">
        <f t="shared" si="79"/>
        <v>1.2135524440334564</v>
      </c>
      <c r="P145" s="121">
        <f t="shared" si="79"/>
        <v>1.2317557306939582</v>
      </c>
      <c r="Q145" s="121">
        <f t="shared" si="79"/>
        <v>1.2502320666543674</v>
      </c>
      <c r="R145" s="121">
        <f t="shared" si="79"/>
        <v>1.2689855476541827</v>
      </c>
      <c r="S145" s="121">
        <f t="shared" si="79"/>
        <v>1.2880203308689953</v>
      </c>
      <c r="T145" s="121">
        <f t="shared" si="79"/>
        <v>1.3073406358320301</v>
      </c>
      <c r="U145" s="121">
        <f t="shared" si="79"/>
        <v>1.3269507453695104</v>
      </c>
      <c r="V145" s="121">
        <f t="shared" si="79"/>
        <v>1.3468550065500529</v>
      </c>
      <c r="W145" s="121">
        <f t="shared" si="79"/>
        <v>1.3670578316483035</v>
      </c>
      <c r="X145" s="121">
        <f t="shared" si="79"/>
        <v>1.387563699123028</v>
      </c>
      <c r="Y145" s="121">
        <f t="shared" si="79"/>
        <v>1.4083771546098733</v>
      </c>
      <c r="Z145" s="121">
        <f t="shared" si="79"/>
        <v>1.4295028119290214</v>
      </c>
      <c r="AA145" s="121">
        <f t="shared" si="79"/>
        <v>1.4509453541079567</v>
      </c>
      <c r="AB145" s="121">
        <f t="shared" si="79"/>
        <v>1.472709534419576</v>
      </c>
      <c r="AC145" s="121">
        <f t="shared" si="79"/>
        <v>1.4948001774358695</v>
      </c>
      <c r="AD145" s="121">
        <f t="shared" si="79"/>
        <v>1.5172221800974073</v>
      </c>
      <c r="AE145" s="121">
        <f t="shared" si="79"/>
        <v>1.5399805127988682</v>
      </c>
      <c r="AF145" s="121">
        <f t="shared" si="79"/>
        <v>1.5630802204908509</v>
      </c>
      <c r="AG145" s="121">
        <f t="shared" si="79"/>
        <v>1.5865264237982135</v>
      </c>
      <c r="AH145" s="121">
        <f t="shared" si="79"/>
        <v>1.6103243201551867</v>
      </c>
      <c r="AI145" s="121">
        <f t="shared" si="79"/>
        <v>1.6344791849575142</v>
      </c>
      <c r="AJ145" s="121">
        <f t="shared" si="79"/>
        <v>1.6589963727318768</v>
      </c>
      <c r="AK145" s="121">
        <f t="shared" si="79"/>
        <v>1.6838813183228549</v>
      </c>
      <c r="AL145" s="121">
        <f t="shared" si="79"/>
        <v>1.7091395380976975</v>
      </c>
      <c r="AM145" s="121">
        <f t="shared" si="79"/>
        <v>1.7347766311691628</v>
      </c>
      <c r="AN145" s="121">
        <f t="shared" si="79"/>
        <v>1.7607982806367002</v>
      </c>
      <c r="AO145" s="121">
        <f t="shared" si="79"/>
        <v>1.7872102548462505</v>
      </c>
      <c r="AP145" s="121">
        <f t="shared" si="79"/>
        <v>1.8140184086689441</v>
      </c>
      <c r="AQ145" s="121">
        <f t="shared" si="79"/>
        <v>1.8412286847989781</v>
      </c>
      <c r="AR145" s="121">
        <f t="shared" si="79"/>
        <v>1.8688471150709625</v>
      </c>
      <c r="AS145" s="121">
        <f t="shared" si="79"/>
        <v>1.8968798217970266</v>
      </c>
      <c r="AT145" s="121">
        <f t="shared" si="79"/>
        <v>1.9253330191239819</v>
      </c>
      <c r="AU145" s="121">
        <f t="shared" si="79"/>
        <v>1.9542130144108414</v>
      </c>
      <c r="AV145" s="121">
        <f t="shared" si="79"/>
        <v>1.9835262096270039</v>
      </c>
      <c r="AW145" s="121">
        <f t="shared" si="79"/>
        <v>2.0132791027714085</v>
      </c>
      <c r="AX145" s="121">
        <f t="shared" si="79"/>
        <v>2.0434782893129793</v>
      </c>
      <c r="AY145" s="121">
        <f t="shared" si="79"/>
        <v>2.0741304636526738</v>
      </c>
      <c r="AZ145" s="121">
        <f t="shared" si="79"/>
        <v>2.1052424206074636</v>
      </c>
      <c r="BA145" s="121">
        <f t="shared" si="79"/>
        <v>2.1368210569165753</v>
      </c>
      <c r="BB145" s="121">
        <f t="shared" si="79"/>
        <v>2.1688733727703235</v>
      </c>
      <c r="BC145" s="121">
        <f t="shared" si="79"/>
        <v>2.2014064733618781</v>
      </c>
      <c r="BD145" s="121">
        <f t="shared" si="79"/>
        <v>2.234427570462306</v>
      </c>
      <c r="BE145" s="121">
        <f t="shared" si="79"/>
        <v>2.2679439840192406</v>
      </c>
      <c r="BF145" s="121">
        <f t="shared" si="79"/>
        <v>2.3019631437795289</v>
      </c>
      <c r="BG145" s="121">
        <f t="shared" si="79"/>
        <v>2.3364925909362215</v>
      </c>
      <c r="BH145" s="121">
        <f t="shared" si="79"/>
        <v>2.3715399798002648</v>
      </c>
      <c r="BI145" s="75"/>
    </row>
    <row r="146" spans="1:61" s="74" customFormat="1" hidden="1" x14ac:dyDescent="0.2">
      <c r="A146" s="74" t="s">
        <v>514</v>
      </c>
      <c r="B146" s="121"/>
      <c r="C146" s="75" t="e">
        <f xml:space="preserve"> C140 * C145</f>
        <v>#REF!</v>
      </c>
      <c r="D146" s="75" t="e">
        <f t="shared" ref="D146:BH146" si="80" xml:space="preserve"> D140 * D145</f>
        <v>#REF!</v>
      </c>
      <c r="E146" s="75" t="e">
        <f t="shared" si="80"/>
        <v>#REF!</v>
      </c>
      <c r="F146" s="75" t="e">
        <f t="shared" si="80"/>
        <v>#REF!</v>
      </c>
      <c r="G146" s="75" t="e">
        <f t="shared" si="80"/>
        <v>#REF!</v>
      </c>
      <c r="H146" s="75" t="e">
        <f t="shared" si="80"/>
        <v>#REF!</v>
      </c>
      <c r="I146" s="75" t="e">
        <f t="shared" si="80"/>
        <v>#REF!</v>
      </c>
      <c r="J146" s="75" t="e">
        <f t="shared" si="80"/>
        <v>#REF!</v>
      </c>
      <c r="K146" s="75" t="e">
        <f t="shared" si="80"/>
        <v>#REF!</v>
      </c>
      <c r="L146" s="75" t="e">
        <f t="shared" si="80"/>
        <v>#REF!</v>
      </c>
      <c r="M146" s="75" t="e">
        <f t="shared" si="80"/>
        <v>#REF!</v>
      </c>
      <c r="N146" s="75" t="e">
        <f t="shared" si="80"/>
        <v>#REF!</v>
      </c>
      <c r="O146" s="75" t="e">
        <f t="shared" si="80"/>
        <v>#REF!</v>
      </c>
      <c r="P146" s="75" t="e">
        <f t="shared" si="80"/>
        <v>#REF!</v>
      </c>
      <c r="Q146" s="75" t="e">
        <f t="shared" si="80"/>
        <v>#REF!</v>
      </c>
      <c r="R146" s="75" t="e">
        <f t="shared" si="80"/>
        <v>#REF!</v>
      </c>
      <c r="S146" s="75" t="e">
        <f t="shared" si="80"/>
        <v>#REF!</v>
      </c>
      <c r="T146" s="75" t="e">
        <f t="shared" si="80"/>
        <v>#REF!</v>
      </c>
      <c r="U146" s="75" t="e">
        <f t="shared" si="80"/>
        <v>#REF!</v>
      </c>
      <c r="V146" s="75" t="e">
        <f t="shared" si="80"/>
        <v>#REF!</v>
      </c>
      <c r="W146" s="75" t="e">
        <f t="shared" si="80"/>
        <v>#REF!</v>
      </c>
      <c r="X146" s="75" t="e">
        <f t="shared" si="80"/>
        <v>#REF!</v>
      </c>
      <c r="Y146" s="75" t="e">
        <f t="shared" si="80"/>
        <v>#REF!</v>
      </c>
      <c r="Z146" s="75" t="e">
        <f t="shared" si="80"/>
        <v>#REF!</v>
      </c>
      <c r="AA146" s="75" t="e">
        <f t="shared" si="80"/>
        <v>#REF!</v>
      </c>
      <c r="AB146" s="75" t="e">
        <f t="shared" si="80"/>
        <v>#REF!</v>
      </c>
      <c r="AC146" s="75" t="e">
        <f t="shared" si="80"/>
        <v>#REF!</v>
      </c>
      <c r="AD146" s="75" t="e">
        <f t="shared" si="80"/>
        <v>#REF!</v>
      </c>
      <c r="AE146" s="75" t="e">
        <f t="shared" si="80"/>
        <v>#REF!</v>
      </c>
      <c r="AF146" s="75" t="e">
        <f t="shared" si="80"/>
        <v>#REF!</v>
      </c>
      <c r="AG146" s="75" t="e">
        <f t="shared" si="80"/>
        <v>#REF!</v>
      </c>
      <c r="AH146" s="75" t="e">
        <f t="shared" si="80"/>
        <v>#REF!</v>
      </c>
      <c r="AI146" s="75" t="e">
        <f t="shared" si="80"/>
        <v>#REF!</v>
      </c>
      <c r="AJ146" s="75" t="e">
        <f t="shared" si="80"/>
        <v>#REF!</v>
      </c>
      <c r="AK146" s="75" t="e">
        <f t="shared" si="80"/>
        <v>#REF!</v>
      </c>
      <c r="AL146" s="75" t="e">
        <f t="shared" si="80"/>
        <v>#REF!</v>
      </c>
      <c r="AM146" s="75" t="e">
        <f t="shared" si="80"/>
        <v>#REF!</v>
      </c>
      <c r="AN146" s="75" t="e">
        <f t="shared" si="80"/>
        <v>#REF!</v>
      </c>
      <c r="AO146" s="75" t="e">
        <f t="shared" si="80"/>
        <v>#REF!</v>
      </c>
      <c r="AP146" s="75" t="e">
        <f t="shared" si="80"/>
        <v>#REF!</v>
      </c>
      <c r="AQ146" s="75" t="e">
        <f t="shared" si="80"/>
        <v>#REF!</v>
      </c>
      <c r="AR146" s="75" t="e">
        <f t="shared" si="80"/>
        <v>#REF!</v>
      </c>
      <c r="AS146" s="75" t="e">
        <f t="shared" si="80"/>
        <v>#REF!</v>
      </c>
      <c r="AT146" s="75" t="e">
        <f t="shared" si="80"/>
        <v>#REF!</v>
      </c>
      <c r="AU146" s="75" t="e">
        <f t="shared" si="80"/>
        <v>#REF!</v>
      </c>
      <c r="AV146" s="75" t="e">
        <f t="shared" si="80"/>
        <v>#REF!</v>
      </c>
      <c r="AW146" s="75" t="e">
        <f t="shared" si="80"/>
        <v>#REF!</v>
      </c>
      <c r="AX146" s="75" t="e">
        <f t="shared" si="80"/>
        <v>#REF!</v>
      </c>
      <c r="AY146" s="75" t="e">
        <f t="shared" si="80"/>
        <v>#REF!</v>
      </c>
      <c r="AZ146" s="75" t="e">
        <f t="shared" si="80"/>
        <v>#REF!</v>
      </c>
      <c r="BA146" s="75" t="e">
        <f t="shared" si="80"/>
        <v>#REF!</v>
      </c>
      <c r="BB146" s="75" t="e">
        <f t="shared" si="80"/>
        <v>#REF!</v>
      </c>
      <c r="BC146" s="75" t="e">
        <f t="shared" si="80"/>
        <v>#REF!</v>
      </c>
      <c r="BD146" s="75" t="e">
        <f t="shared" si="80"/>
        <v>#REF!</v>
      </c>
      <c r="BE146" s="75" t="e">
        <f t="shared" si="80"/>
        <v>#REF!</v>
      </c>
      <c r="BF146" s="75" t="e">
        <f t="shared" si="80"/>
        <v>#REF!</v>
      </c>
      <c r="BG146" s="75" t="e">
        <f t="shared" si="80"/>
        <v>#REF!</v>
      </c>
      <c r="BH146" s="75" t="e">
        <f t="shared" si="80"/>
        <v>#REF!</v>
      </c>
      <c r="BI146" s="75"/>
    </row>
    <row r="147" spans="1:61" hidden="1" x14ac:dyDescent="0.2">
      <c r="B147" s="3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</row>
    <row r="148" spans="1:61" hidden="1" x14ac:dyDescent="0.2">
      <c r="A148" t="s">
        <v>519</v>
      </c>
      <c r="B148" s="31"/>
      <c r="C148" s="10" t="e">
        <f ca="1">IF(C146&gt;C135,C138+C146,C138-IF(COLUMN()&lt;C152-1,0,OFFSET(C148,-2,-C152)))</f>
        <v>#REF!</v>
      </c>
      <c r="D148" s="10" t="e">
        <f>IF(D146&gt;D135,C148+D138+D146,C148+D138)</f>
        <v>#REF!</v>
      </c>
      <c r="E148" s="10" t="e">
        <f>IF(E146&gt;E135,D148+E138+E146,D148+E138)</f>
        <v>#REF!</v>
      </c>
      <c r="F148" s="10" t="e">
        <f>IF(F146&gt;F135,E148+F138+F146,E148+F138)</f>
        <v>#REF!</v>
      </c>
      <c r="G148" s="10" t="e">
        <f t="shared" ref="G148:BH148" si="81">IF(G146&gt;G135,F148+G138+G146,F148+G138)</f>
        <v>#REF!</v>
      </c>
      <c r="H148" s="10" t="e">
        <f t="shared" si="81"/>
        <v>#REF!</v>
      </c>
      <c r="I148" s="10" t="e">
        <f t="shared" si="81"/>
        <v>#REF!</v>
      </c>
      <c r="J148" s="10" t="e">
        <f t="shared" si="81"/>
        <v>#REF!</v>
      </c>
      <c r="K148" s="10" t="e">
        <f t="shared" si="81"/>
        <v>#REF!</v>
      </c>
      <c r="L148" s="10" t="e">
        <f t="shared" si="81"/>
        <v>#REF!</v>
      </c>
      <c r="M148" s="10" t="e">
        <f t="shared" si="81"/>
        <v>#REF!</v>
      </c>
      <c r="N148" s="10" t="e">
        <f t="shared" si="81"/>
        <v>#REF!</v>
      </c>
      <c r="O148" s="10" t="e">
        <f t="shared" si="81"/>
        <v>#REF!</v>
      </c>
      <c r="P148" s="10" t="e">
        <f t="shared" si="81"/>
        <v>#REF!</v>
      </c>
      <c r="Q148" s="10" t="e">
        <f t="shared" si="81"/>
        <v>#REF!</v>
      </c>
      <c r="R148" s="10" t="e">
        <f t="shared" si="81"/>
        <v>#REF!</v>
      </c>
      <c r="S148" s="10" t="e">
        <f t="shared" si="81"/>
        <v>#REF!</v>
      </c>
      <c r="T148" s="10" t="e">
        <f t="shared" si="81"/>
        <v>#REF!</v>
      </c>
      <c r="U148" s="10" t="e">
        <f t="shared" si="81"/>
        <v>#REF!</v>
      </c>
      <c r="V148" s="10" t="e">
        <f t="shared" si="81"/>
        <v>#REF!</v>
      </c>
      <c r="W148" s="10" t="e">
        <f t="shared" si="81"/>
        <v>#REF!</v>
      </c>
      <c r="X148" s="10" t="e">
        <f t="shared" si="81"/>
        <v>#REF!</v>
      </c>
      <c r="Y148" s="10" t="e">
        <f t="shared" si="81"/>
        <v>#REF!</v>
      </c>
      <c r="Z148" s="10" t="e">
        <f t="shared" si="81"/>
        <v>#REF!</v>
      </c>
      <c r="AA148" s="10" t="e">
        <f t="shared" si="81"/>
        <v>#REF!</v>
      </c>
      <c r="AB148" s="10" t="e">
        <f t="shared" si="81"/>
        <v>#REF!</v>
      </c>
      <c r="AC148" s="10" t="e">
        <f t="shared" si="81"/>
        <v>#REF!</v>
      </c>
      <c r="AD148" s="10" t="e">
        <f t="shared" si="81"/>
        <v>#REF!</v>
      </c>
      <c r="AE148" s="10" t="e">
        <f t="shared" si="81"/>
        <v>#REF!</v>
      </c>
      <c r="AF148" s="10" t="e">
        <f t="shared" si="81"/>
        <v>#REF!</v>
      </c>
      <c r="AG148" s="10" t="e">
        <f t="shared" si="81"/>
        <v>#REF!</v>
      </c>
      <c r="AH148" s="10" t="e">
        <f t="shared" si="81"/>
        <v>#REF!</v>
      </c>
      <c r="AI148" s="10" t="e">
        <f t="shared" si="81"/>
        <v>#REF!</v>
      </c>
      <c r="AJ148" s="10" t="e">
        <f t="shared" si="81"/>
        <v>#REF!</v>
      </c>
      <c r="AK148" s="10" t="e">
        <f t="shared" si="81"/>
        <v>#REF!</v>
      </c>
      <c r="AL148" s="10" t="e">
        <f t="shared" si="81"/>
        <v>#REF!</v>
      </c>
      <c r="AM148" s="10" t="e">
        <f t="shared" si="81"/>
        <v>#REF!</v>
      </c>
      <c r="AN148" s="10" t="e">
        <f t="shared" si="81"/>
        <v>#REF!</v>
      </c>
      <c r="AO148" s="10" t="e">
        <f t="shared" si="81"/>
        <v>#REF!</v>
      </c>
      <c r="AP148" s="10" t="e">
        <f t="shared" si="81"/>
        <v>#REF!</v>
      </c>
      <c r="AQ148" s="10" t="e">
        <f t="shared" si="81"/>
        <v>#REF!</v>
      </c>
      <c r="AR148" s="10" t="e">
        <f t="shared" si="81"/>
        <v>#REF!</v>
      </c>
      <c r="AS148" s="10" t="e">
        <f t="shared" si="81"/>
        <v>#REF!</v>
      </c>
      <c r="AT148" s="10" t="e">
        <f t="shared" si="81"/>
        <v>#REF!</v>
      </c>
      <c r="AU148" s="10" t="e">
        <f t="shared" si="81"/>
        <v>#REF!</v>
      </c>
      <c r="AV148" s="10" t="e">
        <f t="shared" si="81"/>
        <v>#REF!</v>
      </c>
      <c r="AW148" s="10" t="e">
        <f t="shared" si="81"/>
        <v>#REF!</v>
      </c>
      <c r="AX148" s="10" t="e">
        <f t="shared" si="81"/>
        <v>#REF!</v>
      </c>
      <c r="AY148" s="10" t="e">
        <f t="shared" si="81"/>
        <v>#REF!</v>
      </c>
      <c r="AZ148" s="10" t="e">
        <f t="shared" si="81"/>
        <v>#REF!</v>
      </c>
      <c r="BA148" s="10" t="e">
        <f t="shared" si="81"/>
        <v>#REF!</v>
      </c>
      <c r="BB148" s="10" t="e">
        <f t="shared" si="81"/>
        <v>#REF!</v>
      </c>
      <c r="BC148" s="10" t="e">
        <f t="shared" si="81"/>
        <v>#REF!</v>
      </c>
      <c r="BD148" s="10" t="e">
        <f t="shared" si="81"/>
        <v>#REF!</v>
      </c>
      <c r="BE148" s="10" t="e">
        <f t="shared" si="81"/>
        <v>#REF!</v>
      </c>
      <c r="BF148" s="10" t="e">
        <f t="shared" si="81"/>
        <v>#REF!</v>
      </c>
      <c r="BG148" s="10" t="e">
        <f t="shared" si="81"/>
        <v>#REF!</v>
      </c>
      <c r="BH148" s="10" t="e">
        <f t="shared" si="81"/>
        <v>#REF!</v>
      </c>
      <c r="BI148" s="10"/>
    </row>
    <row r="149" spans="1:61" hidden="1" x14ac:dyDescent="0.2">
      <c r="A149" t="s">
        <v>516</v>
      </c>
      <c r="B149" s="31">
        <v>0.1</v>
      </c>
      <c r="C149" s="10" t="e">
        <f xml:space="preserve"> IF(C135&lt;(C138+C146), (1+$B149)*(C138+C146-C135), 0)</f>
        <v>#REF!</v>
      </c>
      <c r="D149" s="10" t="e">
        <f xml:space="preserve"> IF(D135&lt;(D138+D146), (1+$B149)*(D138+D146-D135), 0)</f>
        <v>#REF!</v>
      </c>
      <c r="E149" s="10" t="e">
        <f xml:space="preserve"> IF(E135&lt;(E138+E146), (1+$B149)*(E138+E146-E135), 0)</f>
        <v>#REF!</v>
      </c>
      <c r="F149" s="10" t="e">
        <f t="shared" ref="F149:BH149" si="82" xml:space="preserve"> IF(F135&lt;(F138+F146), (1+$B149)*(F138+F146-F135), 0)</f>
        <v>#REF!</v>
      </c>
      <c r="G149" s="10" t="e">
        <f t="shared" si="82"/>
        <v>#REF!</v>
      </c>
      <c r="H149" s="10" t="e">
        <f t="shared" si="82"/>
        <v>#REF!</v>
      </c>
      <c r="I149" s="10" t="e">
        <f t="shared" si="82"/>
        <v>#REF!</v>
      </c>
      <c r="J149" s="10" t="e">
        <f t="shared" si="82"/>
        <v>#REF!</v>
      </c>
      <c r="K149" s="10" t="e">
        <f t="shared" si="82"/>
        <v>#REF!</v>
      </c>
      <c r="L149" s="10" t="e">
        <f t="shared" si="82"/>
        <v>#REF!</v>
      </c>
      <c r="M149" s="10" t="e">
        <f t="shared" si="82"/>
        <v>#REF!</v>
      </c>
      <c r="N149" s="10" t="e">
        <f t="shared" si="82"/>
        <v>#REF!</v>
      </c>
      <c r="O149" s="10" t="e">
        <f t="shared" si="82"/>
        <v>#REF!</v>
      </c>
      <c r="P149" s="10" t="e">
        <f t="shared" si="82"/>
        <v>#REF!</v>
      </c>
      <c r="Q149" s="10" t="e">
        <f t="shared" si="82"/>
        <v>#REF!</v>
      </c>
      <c r="R149" s="10" t="e">
        <f t="shared" si="82"/>
        <v>#REF!</v>
      </c>
      <c r="S149" s="10" t="e">
        <f t="shared" si="82"/>
        <v>#REF!</v>
      </c>
      <c r="T149" s="10" t="e">
        <f t="shared" si="82"/>
        <v>#REF!</v>
      </c>
      <c r="U149" s="10" t="e">
        <f t="shared" si="82"/>
        <v>#REF!</v>
      </c>
      <c r="V149" s="10" t="e">
        <f t="shared" si="82"/>
        <v>#REF!</v>
      </c>
      <c r="W149" s="10" t="e">
        <f t="shared" si="82"/>
        <v>#REF!</v>
      </c>
      <c r="X149" s="10" t="e">
        <f t="shared" si="82"/>
        <v>#REF!</v>
      </c>
      <c r="Y149" s="10" t="e">
        <f t="shared" si="82"/>
        <v>#REF!</v>
      </c>
      <c r="Z149" s="10" t="e">
        <f t="shared" si="82"/>
        <v>#REF!</v>
      </c>
      <c r="AA149" s="10" t="e">
        <f t="shared" si="82"/>
        <v>#REF!</v>
      </c>
      <c r="AB149" s="10" t="e">
        <f t="shared" si="82"/>
        <v>#REF!</v>
      </c>
      <c r="AC149" s="10" t="e">
        <f t="shared" si="82"/>
        <v>#REF!</v>
      </c>
      <c r="AD149" s="10" t="e">
        <f t="shared" si="82"/>
        <v>#REF!</v>
      </c>
      <c r="AE149" s="10" t="e">
        <f t="shared" si="82"/>
        <v>#REF!</v>
      </c>
      <c r="AF149" s="10" t="e">
        <f t="shared" si="82"/>
        <v>#REF!</v>
      </c>
      <c r="AG149" s="10" t="e">
        <f t="shared" si="82"/>
        <v>#REF!</v>
      </c>
      <c r="AH149" s="10" t="e">
        <f t="shared" si="82"/>
        <v>#REF!</v>
      </c>
      <c r="AI149" s="10" t="e">
        <f t="shared" si="82"/>
        <v>#REF!</v>
      </c>
      <c r="AJ149" s="10" t="e">
        <f t="shared" si="82"/>
        <v>#REF!</v>
      </c>
      <c r="AK149" s="10" t="e">
        <f t="shared" si="82"/>
        <v>#REF!</v>
      </c>
      <c r="AL149" s="10" t="e">
        <f t="shared" si="82"/>
        <v>#REF!</v>
      </c>
      <c r="AM149" s="10" t="e">
        <f t="shared" si="82"/>
        <v>#REF!</v>
      </c>
      <c r="AN149" s="10" t="e">
        <f t="shared" si="82"/>
        <v>#REF!</v>
      </c>
      <c r="AO149" s="10" t="e">
        <f t="shared" si="82"/>
        <v>#REF!</v>
      </c>
      <c r="AP149" s="10" t="e">
        <f t="shared" si="82"/>
        <v>#REF!</v>
      </c>
      <c r="AQ149" s="10" t="e">
        <f t="shared" si="82"/>
        <v>#REF!</v>
      </c>
      <c r="AR149" s="10" t="e">
        <f t="shared" si="82"/>
        <v>#REF!</v>
      </c>
      <c r="AS149" s="10" t="e">
        <f t="shared" si="82"/>
        <v>#REF!</v>
      </c>
      <c r="AT149" s="10" t="e">
        <f t="shared" si="82"/>
        <v>#REF!</v>
      </c>
      <c r="AU149" s="10" t="e">
        <f t="shared" si="82"/>
        <v>#REF!</v>
      </c>
      <c r="AV149" s="10" t="e">
        <f t="shared" si="82"/>
        <v>#REF!</v>
      </c>
      <c r="AW149" s="10" t="e">
        <f t="shared" si="82"/>
        <v>#REF!</v>
      </c>
      <c r="AX149" s="10" t="e">
        <f t="shared" si="82"/>
        <v>#REF!</v>
      </c>
      <c r="AY149" s="10" t="e">
        <f t="shared" si="82"/>
        <v>#REF!</v>
      </c>
      <c r="AZ149" s="10" t="e">
        <f t="shared" si="82"/>
        <v>#REF!</v>
      </c>
      <c r="BA149" s="10" t="e">
        <f t="shared" si="82"/>
        <v>#REF!</v>
      </c>
      <c r="BB149" s="10" t="e">
        <f t="shared" si="82"/>
        <v>#REF!</v>
      </c>
      <c r="BC149" s="10" t="e">
        <f t="shared" si="82"/>
        <v>#REF!</v>
      </c>
      <c r="BD149" s="10" t="e">
        <f t="shared" si="82"/>
        <v>#REF!</v>
      </c>
      <c r="BE149" s="10" t="e">
        <f t="shared" si="82"/>
        <v>#REF!</v>
      </c>
      <c r="BF149" s="10" t="e">
        <f t="shared" si="82"/>
        <v>#REF!</v>
      </c>
      <c r="BG149" s="10" t="e">
        <f t="shared" si="82"/>
        <v>#REF!</v>
      </c>
      <c r="BH149" s="10" t="e">
        <f t="shared" si="82"/>
        <v>#REF!</v>
      </c>
      <c r="BI149" s="10"/>
    </row>
    <row r="150" spans="1:61" hidden="1" x14ac:dyDescent="0.2">
      <c r="A150" t="s">
        <v>517</v>
      </c>
      <c r="B150" s="31"/>
      <c r="C150" s="10" t="e">
        <f xml:space="preserve"> C149</f>
        <v>#REF!</v>
      </c>
      <c r="D150" s="10" t="e">
        <f xml:space="preserve"> C150 + D149 -C153</f>
        <v>#REF!</v>
      </c>
      <c r="E150" s="10" t="e">
        <f t="shared" ref="E150:BH150" si="83" xml:space="preserve"> D150 + E149 -D153</f>
        <v>#REF!</v>
      </c>
      <c r="F150" s="10" t="e">
        <f t="shared" si="83"/>
        <v>#REF!</v>
      </c>
      <c r="G150" s="10" t="e">
        <f t="shared" si="83"/>
        <v>#REF!</v>
      </c>
      <c r="H150" s="10" t="e">
        <f t="shared" si="83"/>
        <v>#REF!</v>
      </c>
      <c r="I150" s="10" t="e">
        <f t="shared" si="83"/>
        <v>#REF!</v>
      </c>
      <c r="J150" s="10" t="e">
        <f t="shared" si="83"/>
        <v>#REF!</v>
      </c>
      <c r="K150" s="10" t="e">
        <f t="shared" si="83"/>
        <v>#REF!</v>
      </c>
      <c r="L150" s="10" t="e">
        <f t="shared" si="83"/>
        <v>#REF!</v>
      </c>
      <c r="M150" s="10" t="e">
        <f t="shared" si="83"/>
        <v>#REF!</v>
      </c>
      <c r="N150" s="10" t="e">
        <f t="shared" si="83"/>
        <v>#REF!</v>
      </c>
      <c r="O150" s="10" t="e">
        <f t="shared" si="83"/>
        <v>#REF!</v>
      </c>
      <c r="P150" s="10" t="e">
        <f t="shared" si="83"/>
        <v>#REF!</v>
      </c>
      <c r="Q150" s="10" t="e">
        <f t="shared" si="83"/>
        <v>#REF!</v>
      </c>
      <c r="R150" s="10" t="e">
        <f t="shared" si="83"/>
        <v>#REF!</v>
      </c>
      <c r="S150" s="10" t="e">
        <f t="shared" si="83"/>
        <v>#REF!</v>
      </c>
      <c r="T150" s="10" t="e">
        <f t="shared" si="83"/>
        <v>#REF!</v>
      </c>
      <c r="U150" s="10" t="e">
        <f t="shared" si="83"/>
        <v>#REF!</v>
      </c>
      <c r="V150" s="10" t="e">
        <f t="shared" si="83"/>
        <v>#REF!</v>
      </c>
      <c r="W150" s="10" t="e">
        <f t="shared" si="83"/>
        <v>#REF!</v>
      </c>
      <c r="X150" s="10" t="e">
        <f t="shared" si="83"/>
        <v>#REF!</v>
      </c>
      <c r="Y150" s="10" t="e">
        <f t="shared" si="83"/>
        <v>#REF!</v>
      </c>
      <c r="Z150" s="10" t="e">
        <f t="shared" si="83"/>
        <v>#REF!</v>
      </c>
      <c r="AA150" s="10" t="e">
        <f t="shared" si="83"/>
        <v>#REF!</v>
      </c>
      <c r="AB150" s="10" t="e">
        <f t="shared" si="83"/>
        <v>#REF!</v>
      </c>
      <c r="AC150" s="10" t="e">
        <f t="shared" si="83"/>
        <v>#REF!</v>
      </c>
      <c r="AD150" s="10" t="e">
        <f t="shared" si="83"/>
        <v>#REF!</v>
      </c>
      <c r="AE150" s="10" t="e">
        <f t="shared" si="83"/>
        <v>#REF!</v>
      </c>
      <c r="AF150" s="10" t="e">
        <f t="shared" si="83"/>
        <v>#REF!</v>
      </c>
      <c r="AG150" s="10" t="e">
        <f t="shared" si="83"/>
        <v>#REF!</v>
      </c>
      <c r="AH150" s="10" t="e">
        <f t="shared" si="83"/>
        <v>#REF!</v>
      </c>
      <c r="AI150" s="10" t="e">
        <f t="shared" si="83"/>
        <v>#REF!</v>
      </c>
      <c r="AJ150" s="10" t="e">
        <f t="shared" si="83"/>
        <v>#REF!</v>
      </c>
      <c r="AK150" s="10" t="e">
        <f t="shared" si="83"/>
        <v>#REF!</v>
      </c>
      <c r="AL150" s="10" t="e">
        <f t="shared" si="83"/>
        <v>#REF!</v>
      </c>
      <c r="AM150" s="10" t="e">
        <f t="shared" si="83"/>
        <v>#REF!</v>
      </c>
      <c r="AN150" s="10" t="e">
        <f t="shared" si="83"/>
        <v>#REF!</v>
      </c>
      <c r="AO150" s="10" t="e">
        <f t="shared" si="83"/>
        <v>#REF!</v>
      </c>
      <c r="AP150" s="10" t="e">
        <f t="shared" si="83"/>
        <v>#REF!</v>
      </c>
      <c r="AQ150" s="10" t="e">
        <f t="shared" si="83"/>
        <v>#REF!</v>
      </c>
      <c r="AR150" s="10" t="e">
        <f t="shared" si="83"/>
        <v>#REF!</v>
      </c>
      <c r="AS150" s="10" t="e">
        <f t="shared" si="83"/>
        <v>#REF!</v>
      </c>
      <c r="AT150" s="10" t="e">
        <f t="shared" si="83"/>
        <v>#REF!</v>
      </c>
      <c r="AU150" s="10" t="e">
        <f t="shared" si="83"/>
        <v>#REF!</v>
      </c>
      <c r="AV150" s="10" t="e">
        <f t="shared" si="83"/>
        <v>#REF!</v>
      </c>
      <c r="AW150" s="10" t="e">
        <f t="shared" si="83"/>
        <v>#REF!</v>
      </c>
      <c r="AX150" s="10" t="e">
        <f t="shared" si="83"/>
        <v>#REF!</v>
      </c>
      <c r="AY150" s="10" t="e">
        <f t="shared" si="83"/>
        <v>#REF!</v>
      </c>
      <c r="AZ150" s="10" t="e">
        <f t="shared" si="83"/>
        <v>#REF!</v>
      </c>
      <c r="BA150" s="10" t="e">
        <f t="shared" si="83"/>
        <v>#REF!</v>
      </c>
      <c r="BB150" s="10" t="e">
        <f t="shared" si="83"/>
        <v>#REF!</v>
      </c>
      <c r="BC150" s="10" t="e">
        <f t="shared" si="83"/>
        <v>#REF!</v>
      </c>
      <c r="BD150" s="10" t="e">
        <f t="shared" si="83"/>
        <v>#REF!</v>
      </c>
      <c r="BE150" s="10" t="e">
        <f t="shared" si="83"/>
        <v>#REF!</v>
      </c>
      <c r="BF150" s="10" t="e">
        <f t="shared" si="83"/>
        <v>#REF!</v>
      </c>
      <c r="BG150" s="10" t="e">
        <f t="shared" si="83"/>
        <v>#REF!</v>
      </c>
      <c r="BH150" s="10" t="e">
        <f t="shared" si="83"/>
        <v>#REF!</v>
      </c>
      <c r="BI150" s="10"/>
    </row>
    <row r="151" spans="1:61" hidden="1" x14ac:dyDescent="0.2">
      <c r="A151" t="s">
        <v>586</v>
      </c>
      <c r="B151" s="31"/>
      <c r="C151" s="83">
        <v>0.08</v>
      </c>
      <c r="D151" s="9">
        <f xml:space="preserve"> $C151</f>
        <v>0.08</v>
      </c>
      <c r="E151" s="9">
        <f t="shared" ref="E151:AP152" si="84" xml:space="preserve"> $C151</f>
        <v>0.08</v>
      </c>
      <c r="F151" s="9">
        <f t="shared" si="84"/>
        <v>0.08</v>
      </c>
      <c r="G151" s="9">
        <f t="shared" si="84"/>
        <v>0.08</v>
      </c>
      <c r="H151" s="9">
        <f t="shared" si="84"/>
        <v>0.08</v>
      </c>
      <c r="I151" s="9">
        <f t="shared" si="84"/>
        <v>0.08</v>
      </c>
      <c r="J151" s="9">
        <f t="shared" si="84"/>
        <v>0.08</v>
      </c>
      <c r="K151" s="9">
        <f t="shared" si="84"/>
        <v>0.08</v>
      </c>
      <c r="L151" s="9">
        <f t="shared" si="84"/>
        <v>0.08</v>
      </c>
      <c r="M151" s="9">
        <f t="shared" si="84"/>
        <v>0.08</v>
      </c>
      <c r="N151" s="9">
        <f t="shared" si="84"/>
        <v>0.08</v>
      </c>
      <c r="O151" s="9">
        <f t="shared" si="84"/>
        <v>0.08</v>
      </c>
      <c r="P151" s="9">
        <f t="shared" si="84"/>
        <v>0.08</v>
      </c>
      <c r="Q151" s="9">
        <f t="shared" si="84"/>
        <v>0.08</v>
      </c>
      <c r="R151" s="9">
        <f t="shared" si="84"/>
        <v>0.08</v>
      </c>
      <c r="S151" s="9">
        <f t="shared" si="84"/>
        <v>0.08</v>
      </c>
      <c r="T151" s="9">
        <f t="shared" si="84"/>
        <v>0.08</v>
      </c>
      <c r="U151" s="9">
        <f t="shared" si="84"/>
        <v>0.08</v>
      </c>
      <c r="V151" s="9">
        <f t="shared" si="84"/>
        <v>0.08</v>
      </c>
      <c r="W151" s="9">
        <f t="shared" si="84"/>
        <v>0.08</v>
      </c>
      <c r="X151" s="9">
        <f t="shared" si="84"/>
        <v>0.08</v>
      </c>
      <c r="Y151" s="9">
        <f t="shared" si="84"/>
        <v>0.08</v>
      </c>
      <c r="Z151" s="9">
        <f t="shared" si="84"/>
        <v>0.08</v>
      </c>
      <c r="AA151" s="9">
        <f t="shared" si="84"/>
        <v>0.08</v>
      </c>
      <c r="AB151" s="9">
        <f t="shared" si="84"/>
        <v>0.08</v>
      </c>
      <c r="AC151" s="9">
        <f t="shared" si="84"/>
        <v>0.08</v>
      </c>
      <c r="AD151" s="9">
        <f t="shared" si="84"/>
        <v>0.08</v>
      </c>
      <c r="AE151" s="9">
        <f t="shared" si="84"/>
        <v>0.08</v>
      </c>
      <c r="AF151" s="9">
        <f t="shared" si="84"/>
        <v>0.08</v>
      </c>
      <c r="AG151" s="9">
        <f t="shared" si="84"/>
        <v>0.08</v>
      </c>
      <c r="AH151" s="9">
        <f t="shared" si="84"/>
        <v>0.08</v>
      </c>
      <c r="AI151" s="9">
        <f t="shared" si="84"/>
        <v>0.08</v>
      </c>
      <c r="AJ151" s="9">
        <f t="shared" si="84"/>
        <v>0.08</v>
      </c>
      <c r="AK151" s="9">
        <f t="shared" si="84"/>
        <v>0.08</v>
      </c>
      <c r="AL151" s="9">
        <f t="shared" si="84"/>
        <v>0.08</v>
      </c>
      <c r="AM151" s="9">
        <f t="shared" si="84"/>
        <v>0.08</v>
      </c>
      <c r="AN151" s="9">
        <f t="shared" si="84"/>
        <v>0.08</v>
      </c>
      <c r="AO151" s="9">
        <f t="shared" si="84"/>
        <v>0.08</v>
      </c>
      <c r="AP151" s="9">
        <f t="shared" si="84"/>
        <v>0.08</v>
      </c>
      <c r="AQ151" s="9">
        <f t="shared" ref="AQ151:BH152" si="85" xml:space="preserve"> $C151</f>
        <v>0.08</v>
      </c>
      <c r="AR151" s="9">
        <f t="shared" si="85"/>
        <v>0.08</v>
      </c>
      <c r="AS151" s="9">
        <f t="shared" si="85"/>
        <v>0.08</v>
      </c>
      <c r="AT151" s="9">
        <f t="shared" si="85"/>
        <v>0.08</v>
      </c>
      <c r="AU151" s="9">
        <f t="shared" si="85"/>
        <v>0.08</v>
      </c>
      <c r="AV151" s="9">
        <f t="shared" si="85"/>
        <v>0.08</v>
      </c>
      <c r="AW151" s="9">
        <f t="shared" si="85"/>
        <v>0.08</v>
      </c>
      <c r="AX151" s="9">
        <f t="shared" si="85"/>
        <v>0.08</v>
      </c>
      <c r="AY151" s="9">
        <f t="shared" si="85"/>
        <v>0.08</v>
      </c>
      <c r="AZ151" s="9">
        <f t="shared" si="85"/>
        <v>0.08</v>
      </c>
      <c r="BA151" s="9">
        <f t="shared" si="85"/>
        <v>0.08</v>
      </c>
      <c r="BB151" s="9">
        <f t="shared" si="85"/>
        <v>0.08</v>
      </c>
      <c r="BC151" s="9">
        <f t="shared" si="85"/>
        <v>0.08</v>
      </c>
      <c r="BD151" s="9">
        <f t="shared" si="85"/>
        <v>0.08</v>
      </c>
      <c r="BE151" s="9">
        <f t="shared" si="85"/>
        <v>0.08</v>
      </c>
      <c r="BF151" s="9">
        <f t="shared" si="85"/>
        <v>0.08</v>
      </c>
      <c r="BG151" s="9">
        <f t="shared" si="85"/>
        <v>0.08</v>
      </c>
      <c r="BH151" s="9">
        <f t="shared" si="85"/>
        <v>0.08</v>
      </c>
      <c r="BI151" s="10"/>
    </row>
    <row r="152" spans="1:61" hidden="1" x14ac:dyDescent="0.2">
      <c r="A152" t="s">
        <v>587</v>
      </c>
      <c r="B152" s="31"/>
      <c r="C152" s="84">
        <v>30</v>
      </c>
      <c r="D152" s="5">
        <f xml:space="preserve"> $C152</f>
        <v>30</v>
      </c>
      <c r="E152" s="5">
        <f t="shared" si="84"/>
        <v>30</v>
      </c>
      <c r="F152" s="5">
        <f t="shared" si="84"/>
        <v>30</v>
      </c>
      <c r="G152" s="5">
        <f t="shared" si="84"/>
        <v>30</v>
      </c>
      <c r="H152" s="5">
        <f t="shared" si="84"/>
        <v>30</v>
      </c>
      <c r="I152" s="5">
        <f t="shared" si="84"/>
        <v>30</v>
      </c>
      <c r="J152" s="5">
        <f t="shared" si="84"/>
        <v>30</v>
      </c>
      <c r="K152" s="5">
        <f t="shared" si="84"/>
        <v>30</v>
      </c>
      <c r="L152" s="5">
        <f t="shared" si="84"/>
        <v>30</v>
      </c>
      <c r="M152" s="5">
        <f t="shared" si="84"/>
        <v>30</v>
      </c>
      <c r="N152" s="5">
        <f t="shared" si="84"/>
        <v>30</v>
      </c>
      <c r="O152" s="5">
        <f t="shared" si="84"/>
        <v>30</v>
      </c>
      <c r="P152" s="5">
        <f t="shared" si="84"/>
        <v>30</v>
      </c>
      <c r="Q152" s="5">
        <f t="shared" si="84"/>
        <v>30</v>
      </c>
      <c r="R152" s="5">
        <f t="shared" si="84"/>
        <v>30</v>
      </c>
      <c r="S152" s="5">
        <f t="shared" si="84"/>
        <v>30</v>
      </c>
      <c r="T152" s="5">
        <f t="shared" si="84"/>
        <v>30</v>
      </c>
      <c r="U152" s="5">
        <f t="shared" si="84"/>
        <v>30</v>
      </c>
      <c r="V152" s="5">
        <f t="shared" si="84"/>
        <v>30</v>
      </c>
      <c r="W152" s="5">
        <f t="shared" si="84"/>
        <v>30</v>
      </c>
      <c r="X152" s="5">
        <f t="shared" si="84"/>
        <v>30</v>
      </c>
      <c r="Y152" s="5">
        <f t="shared" si="84"/>
        <v>30</v>
      </c>
      <c r="Z152" s="5">
        <f t="shared" si="84"/>
        <v>30</v>
      </c>
      <c r="AA152" s="5">
        <f t="shared" si="84"/>
        <v>30</v>
      </c>
      <c r="AB152" s="5">
        <f t="shared" si="84"/>
        <v>30</v>
      </c>
      <c r="AC152" s="5">
        <f t="shared" si="84"/>
        <v>30</v>
      </c>
      <c r="AD152" s="5">
        <f t="shared" si="84"/>
        <v>30</v>
      </c>
      <c r="AE152" s="5">
        <f t="shared" si="84"/>
        <v>30</v>
      </c>
      <c r="AF152" s="5">
        <f t="shared" si="84"/>
        <v>30</v>
      </c>
      <c r="AG152" s="5">
        <f t="shared" si="84"/>
        <v>30</v>
      </c>
      <c r="AH152" s="5">
        <f t="shared" si="84"/>
        <v>30</v>
      </c>
      <c r="AI152" s="5">
        <f t="shared" si="84"/>
        <v>30</v>
      </c>
      <c r="AJ152" s="5">
        <f t="shared" si="84"/>
        <v>30</v>
      </c>
      <c r="AK152" s="5">
        <f t="shared" si="84"/>
        <v>30</v>
      </c>
      <c r="AL152" s="5">
        <f t="shared" si="84"/>
        <v>30</v>
      </c>
      <c r="AM152" s="5">
        <f t="shared" si="84"/>
        <v>30</v>
      </c>
      <c r="AN152" s="5">
        <f t="shared" si="84"/>
        <v>30</v>
      </c>
      <c r="AO152" s="5">
        <f t="shared" si="84"/>
        <v>30</v>
      </c>
      <c r="AP152" s="5">
        <f t="shared" si="84"/>
        <v>30</v>
      </c>
      <c r="AQ152" s="5">
        <f t="shared" si="85"/>
        <v>30</v>
      </c>
      <c r="AR152" s="5">
        <f t="shared" si="85"/>
        <v>30</v>
      </c>
      <c r="AS152" s="5">
        <f t="shared" si="85"/>
        <v>30</v>
      </c>
      <c r="AT152" s="5">
        <f t="shared" si="85"/>
        <v>30</v>
      </c>
      <c r="AU152" s="5">
        <f t="shared" si="85"/>
        <v>30</v>
      </c>
      <c r="AV152" s="5">
        <f t="shared" si="85"/>
        <v>30</v>
      </c>
      <c r="AW152" s="5">
        <f t="shared" si="85"/>
        <v>30</v>
      </c>
      <c r="AX152" s="5">
        <f t="shared" si="85"/>
        <v>30</v>
      </c>
      <c r="AY152" s="5">
        <f t="shared" si="85"/>
        <v>30</v>
      </c>
      <c r="AZ152" s="5">
        <f t="shared" si="85"/>
        <v>30</v>
      </c>
      <c r="BA152" s="5">
        <f t="shared" si="85"/>
        <v>30</v>
      </c>
      <c r="BB152" s="5">
        <f t="shared" si="85"/>
        <v>30</v>
      </c>
      <c r="BC152" s="5">
        <f t="shared" si="85"/>
        <v>30</v>
      </c>
      <c r="BD152" s="5">
        <f t="shared" si="85"/>
        <v>30</v>
      </c>
      <c r="BE152" s="5">
        <f t="shared" si="85"/>
        <v>30</v>
      </c>
      <c r="BF152" s="5">
        <f t="shared" si="85"/>
        <v>30</v>
      </c>
      <c r="BG152" s="5">
        <f t="shared" si="85"/>
        <v>30</v>
      </c>
      <c r="BH152" s="5">
        <f t="shared" si="85"/>
        <v>30</v>
      </c>
      <c r="BI152" s="10"/>
    </row>
    <row r="153" spans="1:61" s="74" customFormat="1" hidden="1" x14ac:dyDescent="0.2">
      <c r="A153" s="74" t="s">
        <v>483</v>
      </c>
      <c r="B153" s="121"/>
      <c r="C153" s="85" t="e">
        <f xml:space="preserve"> 12 * (C151/12*C150)/(1-POWER(C151/12+1,-C152*12))</f>
        <v>#REF!</v>
      </c>
      <c r="D153" s="85" t="e">
        <f t="shared" ref="D153:BH153" si="86" xml:space="preserve"> 12 * (D151/12*D150)/(1-POWER(D151/12+1,-D152*12))</f>
        <v>#REF!</v>
      </c>
      <c r="E153" s="85" t="e">
        <f t="shared" si="86"/>
        <v>#REF!</v>
      </c>
      <c r="F153" s="85" t="e">
        <f t="shared" si="86"/>
        <v>#REF!</v>
      </c>
      <c r="G153" s="85" t="e">
        <f t="shared" si="86"/>
        <v>#REF!</v>
      </c>
      <c r="H153" s="85" t="e">
        <f t="shared" si="86"/>
        <v>#REF!</v>
      </c>
      <c r="I153" s="85" t="e">
        <f t="shared" si="86"/>
        <v>#REF!</v>
      </c>
      <c r="J153" s="85" t="e">
        <f t="shared" si="86"/>
        <v>#REF!</v>
      </c>
      <c r="K153" s="85" t="e">
        <f t="shared" si="86"/>
        <v>#REF!</v>
      </c>
      <c r="L153" s="85" t="e">
        <f t="shared" si="86"/>
        <v>#REF!</v>
      </c>
      <c r="M153" s="85" t="e">
        <f t="shared" si="86"/>
        <v>#REF!</v>
      </c>
      <c r="N153" s="85" t="e">
        <f t="shared" si="86"/>
        <v>#REF!</v>
      </c>
      <c r="O153" s="85" t="e">
        <f t="shared" si="86"/>
        <v>#REF!</v>
      </c>
      <c r="P153" s="85" t="e">
        <f t="shared" si="86"/>
        <v>#REF!</v>
      </c>
      <c r="Q153" s="85" t="e">
        <f t="shared" si="86"/>
        <v>#REF!</v>
      </c>
      <c r="R153" s="85" t="e">
        <f t="shared" si="86"/>
        <v>#REF!</v>
      </c>
      <c r="S153" s="85" t="e">
        <f t="shared" si="86"/>
        <v>#REF!</v>
      </c>
      <c r="T153" s="85" t="e">
        <f t="shared" si="86"/>
        <v>#REF!</v>
      </c>
      <c r="U153" s="85" t="e">
        <f t="shared" si="86"/>
        <v>#REF!</v>
      </c>
      <c r="V153" s="85" t="e">
        <f t="shared" si="86"/>
        <v>#REF!</v>
      </c>
      <c r="W153" s="85" t="e">
        <f t="shared" si="86"/>
        <v>#REF!</v>
      </c>
      <c r="X153" s="85" t="e">
        <f t="shared" si="86"/>
        <v>#REF!</v>
      </c>
      <c r="Y153" s="85" t="e">
        <f t="shared" si="86"/>
        <v>#REF!</v>
      </c>
      <c r="Z153" s="85" t="e">
        <f t="shared" si="86"/>
        <v>#REF!</v>
      </c>
      <c r="AA153" s="85" t="e">
        <f t="shared" si="86"/>
        <v>#REF!</v>
      </c>
      <c r="AB153" s="85" t="e">
        <f t="shared" si="86"/>
        <v>#REF!</v>
      </c>
      <c r="AC153" s="85" t="e">
        <f t="shared" si="86"/>
        <v>#REF!</v>
      </c>
      <c r="AD153" s="85" t="e">
        <f t="shared" si="86"/>
        <v>#REF!</v>
      </c>
      <c r="AE153" s="85" t="e">
        <f t="shared" si="86"/>
        <v>#REF!</v>
      </c>
      <c r="AF153" s="85" t="e">
        <f t="shared" si="86"/>
        <v>#REF!</v>
      </c>
      <c r="AG153" s="85" t="e">
        <f t="shared" si="86"/>
        <v>#REF!</v>
      </c>
      <c r="AH153" s="85" t="e">
        <f t="shared" si="86"/>
        <v>#REF!</v>
      </c>
      <c r="AI153" s="85" t="e">
        <f t="shared" si="86"/>
        <v>#REF!</v>
      </c>
      <c r="AJ153" s="85" t="e">
        <f t="shared" si="86"/>
        <v>#REF!</v>
      </c>
      <c r="AK153" s="85" t="e">
        <f t="shared" si="86"/>
        <v>#REF!</v>
      </c>
      <c r="AL153" s="85" t="e">
        <f t="shared" si="86"/>
        <v>#REF!</v>
      </c>
      <c r="AM153" s="85" t="e">
        <f t="shared" si="86"/>
        <v>#REF!</v>
      </c>
      <c r="AN153" s="85" t="e">
        <f t="shared" si="86"/>
        <v>#REF!</v>
      </c>
      <c r="AO153" s="85" t="e">
        <f t="shared" si="86"/>
        <v>#REF!</v>
      </c>
      <c r="AP153" s="85" t="e">
        <f t="shared" si="86"/>
        <v>#REF!</v>
      </c>
      <c r="AQ153" s="85" t="e">
        <f t="shared" si="86"/>
        <v>#REF!</v>
      </c>
      <c r="AR153" s="85" t="e">
        <f t="shared" si="86"/>
        <v>#REF!</v>
      </c>
      <c r="AS153" s="85" t="e">
        <f t="shared" si="86"/>
        <v>#REF!</v>
      </c>
      <c r="AT153" s="85" t="e">
        <f t="shared" si="86"/>
        <v>#REF!</v>
      </c>
      <c r="AU153" s="85" t="e">
        <f t="shared" si="86"/>
        <v>#REF!</v>
      </c>
      <c r="AV153" s="85" t="e">
        <f t="shared" si="86"/>
        <v>#REF!</v>
      </c>
      <c r="AW153" s="85" t="e">
        <f t="shared" si="86"/>
        <v>#REF!</v>
      </c>
      <c r="AX153" s="85" t="e">
        <f t="shared" si="86"/>
        <v>#REF!</v>
      </c>
      <c r="AY153" s="85" t="e">
        <f t="shared" si="86"/>
        <v>#REF!</v>
      </c>
      <c r="AZ153" s="85" t="e">
        <f t="shared" si="86"/>
        <v>#REF!</v>
      </c>
      <c r="BA153" s="85" t="e">
        <f t="shared" si="86"/>
        <v>#REF!</v>
      </c>
      <c r="BB153" s="85" t="e">
        <f t="shared" si="86"/>
        <v>#REF!</v>
      </c>
      <c r="BC153" s="85" t="e">
        <f t="shared" si="86"/>
        <v>#REF!</v>
      </c>
      <c r="BD153" s="85" t="e">
        <f t="shared" si="86"/>
        <v>#REF!</v>
      </c>
      <c r="BE153" s="85" t="e">
        <f t="shared" si="86"/>
        <v>#REF!</v>
      </c>
      <c r="BF153" s="85" t="e">
        <f t="shared" si="86"/>
        <v>#REF!</v>
      </c>
      <c r="BG153" s="85" t="e">
        <f t="shared" si="86"/>
        <v>#REF!</v>
      </c>
      <c r="BH153" s="85" t="e">
        <f t="shared" si="86"/>
        <v>#REF!</v>
      </c>
      <c r="BI153" s="75"/>
    </row>
    <row r="154" spans="1:61" s="72" customFormat="1" hidden="1" x14ac:dyDescent="0.2">
      <c r="A154" s="72" t="s">
        <v>484</v>
      </c>
      <c r="B154" s="128"/>
      <c r="C154" s="172" t="e">
        <f xml:space="preserve"> C135-C146-C153</f>
        <v>#REF!</v>
      </c>
      <c r="D154" s="172" t="e">
        <f xml:space="preserve"> D135-D146-D153</f>
        <v>#REF!</v>
      </c>
      <c r="E154" s="172" t="e">
        <f t="shared" ref="E154:BH154" si="87" xml:space="preserve"> E135-E146-E153</f>
        <v>#REF!</v>
      </c>
      <c r="F154" s="172" t="e">
        <f t="shared" si="87"/>
        <v>#REF!</v>
      </c>
      <c r="G154" s="172" t="e">
        <f t="shared" si="87"/>
        <v>#REF!</v>
      </c>
      <c r="H154" s="172" t="e">
        <f t="shared" si="87"/>
        <v>#REF!</v>
      </c>
      <c r="I154" s="172" t="e">
        <f t="shared" si="87"/>
        <v>#REF!</v>
      </c>
      <c r="J154" s="172" t="e">
        <f t="shared" si="87"/>
        <v>#REF!</v>
      </c>
      <c r="K154" s="172" t="e">
        <f t="shared" si="87"/>
        <v>#REF!</v>
      </c>
      <c r="L154" s="172" t="e">
        <f t="shared" si="87"/>
        <v>#REF!</v>
      </c>
      <c r="M154" s="172" t="e">
        <f t="shared" si="87"/>
        <v>#REF!</v>
      </c>
      <c r="N154" s="172" t="e">
        <f t="shared" si="87"/>
        <v>#REF!</v>
      </c>
      <c r="O154" s="172" t="e">
        <f t="shared" si="87"/>
        <v>#REF!</v>
      </c>
      <c r="P154" s="172" t="e">
        <f t="shared" si="87"/>
        <v>#REF!</v>
      </c>
      <c r="Q154" s="172" t="e">
        <f t="shared" si="87"/>
        <v>#REF!</v>
      </c>
      <c r="R154" s="172" t="e">
        <f t="shared" si="87"/>
        <v>#REF!</v>
      </c>
      <c r="S154" s="172" t="e">
        <f t="shared" si="87"/>
        <v>#REF!</v>
      </c>
      <c r="T154" s="172" t="e">
        <f t="shared" si="87"/>
        <v>#REF!</v>
      </c>
      <c r="U154" s="172" t="e">
        <f t="shared" si="87"/>
        <v>#REF!</v>
      </c>
      <c r="V154" s="172" t="e">
        <f t="shared" si="87"/>
        <v>#REF!</v>
      </c>
      <c r="W154" s="172" t="e">
        <f t="shared" si="87"/>
        <v>#REF!</v>
      </c>
      <c r="X154" s="172" t="e">
        <f t="shared" si="87"/>
        <v>#REF!</v>
      </c>
      <c r="Y154" s="172" t="e">
        <f t="shared" si="87"/>
        <v>#REF!</v>
      </c>
      <c r="Z154" s="172" t="e">
        <f t="shared" si="87"/>
        <v>#REF!</v>
      </c>
      <c r="AA154" s="172" t="e">
        <f t="shared" si="87"/>
        <v>#REF!</v>
      </c>
      <c r="AB154" s="172" t="e">
        <f t="shared" si="87"/>
        <v>#REF!</v>
      </c>
      <c r="AC154" s="172" t="e">
        <f t="shared" si="87"/>
        <v>#REF!</v>
      </c>
      <c r="AD154" s="172" t="e">
        <f t="shared" si="87"/>
        <v>#REF!</v>
      </c>
      <c r="AE154" s="172" t="e">
        <f t="shared" si="87"/>
        <v>#REF!</v>
      </c>
      <c r="AF154" s="172" t="e">
        <f t="shared" si="87"/>
        <v>#REF!</v>
      </c>
      <c r="AG154" s="172" t="e">
        <f t="shared" si="87"/>
        <v>#REF!</v>
      </c>
      <c r="AH154" s="172" t="e">
        <f t="shared" si="87"/>
        <v>#REF!</v>
      </c>
      <c r="AI154" s="172" t="e">
        <f t="shared" si="87"/>
        <v>#REF!</v>
      </c>
      <c r="AJ154" s="172" t="e">
        <f t="shared" si="87"/>
        <v>#REF!</v>
      </c>
      <c r="AK154" s="172" t="e">
        <f t="shared" si="87"/>
        <v>#REF!</v>
      </c>
      <c r="AL154" s="172" t="e">
        <f t="shared" si="87"/>
        <v>#REF!</v>
      </c>
      <c r="AM154" s="172" t="e">
        <f t="shared" si="87"/>
        <v>#REF!</v>
      </c>
      <c r="AN154" s="172" t="e">
        <f t="shared" si="87"/>
        <v>#REF!</v>
      </c>
      <c r="AO154" s="172" t="e">
        <f t="shared" si="87"/>
        <v>#REF!</v>
      </c>
      <c r="AP154" s="172" t="e">
        <f t="shared" si="87"/>
        <v>#REF!</v>
      </c>
      <c r="AQ154" s="172" t="e">
        <f t="shared" si="87"/>
        <v>#REF!</v>
      </c>
      <c r="AR154" s="172" t="e">
        <f t="shared" si="87"/>
        <v>#REF!</v>
      </c>
      <c r="AS154" s="172" t="e">
        <f t="shared" si="87"/>
        <v>#REF!</v>
      </c>
      <c r="AT154" s="172" t="e">
        <f t="shared" si="87"/>
        <v>#REF!</v>
      </c>
      <c r="AU154" s="172" t="e">
        <f t="shared" si="87"/>
        <v>#REF!</v>
      </c>
      <c r="AV154" s="172" t="e">
        <f t="shared" si="87"/>
        <v>#REF!</v>
      </c>
      <c r="AW154" s="172" t="e">
        <f t="shared" si="87"/>
        <v>#REF!</v>
      </c>
      <c r="AX154" s="172" t="e">
        <f t="shared" si="87"/>
        <v>#REF!</v>
      </c>
      <c r="AY154" s="172" t="e">
        <f t="shared" si="87"/>
        <v>#REF!</v>
      </c>
      <c r="AZ154" s="172" t="e">
        <f t="shared" si="87"/>
        <v>#REF!</v>
      </c>
      <c r="BA154" s="172" t="e">
        <f t="shared" si="87"/>
        <v>#REF!</v>
      </c>
      <c r="BB154" s="172" t="e">
        <f t="shared" si="87"/>
        <v>#REF!</v>
      </c>
      <c r="BC154" s="172" t="e">
        <f t="shared" si="87"/>
        <v>#REF!</v>
      </c>
      <c r="BD154" s="172" t="e">
        <f t="shared" si="87"/>
        <v>#REF!</v>
      </c>
      <c r="BE154" s="172" t="e">
        <f t="shared" si="87"/>
        <v>#REF!</v>
      </c>
      <c r="BF154" s="172" t="e">
        <f t="shared" si="87"/>
        <v>#REF!</v>
      </c>
      <c r="BG154" s="172" t="e">
        <f t="shared" si="87"/>
        <v>#REF!</v>
      </c>
      <c r="BH154" s="172" t="e">
        <f t="shared" si="87"/>
        <v>#REF!</v>
      </c>
      <c r="BI154" s="73"/>
    </row>
    <row r="155" spans="1:61" hidden="1" x14ac:dyDescent="0.2">
      <c r="A155" t="s">
        <v>457</v>
      </c>
      <c r="C155" s="9" t="e">
        <f>(C135-C140-C143)/MAX($C144:$AM144)</f>
        <v>#REF!</v>
      </c>
      <c r="D155" s="9" t="e">
        <f t="shared" ref="D155:BH155" si="88">(D135-D140)/MAX($C144:$AM144)</f>
        <v>#REF!</v>
      </c>
      <c r="E155" s="9" t="e">
        <f t="shared" si="88"/>
        <v>#REF!</v>
      </c>
      <c r="F155" s="9" t="e">
        <f t="shared" si="88"/>
        <v>#REF!</v>
      </c>
      <c r="G155" s="9" t="e">
        <f t="shared" si="88"/>
        <v>#REF!</v>
      </c>
      <c r="H155" s="9" t="e">
        <f t="shared" si="88"/>
        <v>#REF!</v>
      </c>
      <c r="I155" s="9" t="e">
        <f t="shared" si="88"/>
        <v>#REF!</v>
      </c>
      <c r="J155" s="9" t="e">
        <f t="shared" si="88"/>
        <v>#REF!</v>
      </c>
      <c r="K155" s="9" t="e">
        <f t="shared" si="88"/>
        <v>#REF!</v>
      </c>
      <c r="L155" s="9" t="e">
        <f t="shared" si="88"/>
        <v>#REF!</v>
      </c>
      <c r="M155" s="9" t="e">
        <f t="shared" si="88"/>
        <v>#REF!</v>
      </c>
      <c r="N155" s="9" t="e">
        <f t="shared" si="88"/>
        <v>#REF!</v>
      </c>
      <c r="O155" s="9" t="e">
        <f t="shared" si="88"/>
        <v>#REF!</v>
      </c>
      <c r="P155" s="9" t="e">
        <f t="shared" si="88"/>
        <v>#REF!</v>
      </c>
      <c r="Q155" s="9" t="e">
        <f t="shared" si="88"/>
        <v>#REF!</v>
      </c>
      <c r="R155" s="9" t="e">
        <f t="shared" si="88"/>
        <v>#REF!</v>
      </c>
      <c r="S155" s="9" t="e">
        <f t="shared" si="88"/>
        <v>#REF!</v>
      </c>
      <c r="T155" s="9" t="e">
        <f t="shared" si="88"/>
        <v>#REF!</v>
      </c>
      <c r="U155" s="9" t="e">
        <f t="shared" si="88"/>
        <v>#REF!</v>
      </c>
      <c r="V155" s="9" t="e">
        <f t="shared" si="88"/>
        <v>#REF!</v>
      </c>
      <c r="W155" s="9" t="e">
        <f t="shared" si="88"/>
        <v>#REF!</v>
      </c>
      <c r="X155" s="9" t="e">
        <f t="shared" si="88"/>
        <v>#REF!</v>
      </c>
      <c r="Y155" s="9" t="e">
        <f t="shared" si="88"/>
        <v>#REF!</v>
      </c>
      <c r="Z155" s="9" t="e">
        <f t="shared" si="88"/>
        <v>#REF!</v>
      </c>
      <c r="AA155" s="9" t="e">
        <f t="shared" si="88"/>
        <v>#REF!</v>
      </c>
      <c r="AB155" s="9" t="e">
        <f t="shared" si="88"/>
        <v>#REF!</v>
      </c>
      <c r="AC155" s="9" t="e">
        <f t="shared" si="88"/>
        <v>#REF!</v>
      </c>
      <c r="AD155" s="9" t="e">
        <f t="shared" si="88"/>
        <v>#REF!</v>
      </c>
      <c r="AE155" s="9" t="e">
        <f t="shared" si="88"/>
        <v>#REF!</v>
      </c>
      <c r="AF155" s="9" t="e">
        <f t="shared" si="88"/>
        <v>#REF!</v>
      </c>
      <c r="AG155" s="9" t="e">
        <f t="shared" si="88"/>
        <v>#REF!</v>
      </c>
      <c r="AH155" s="9" t="e">
        <f t="shared" si="88"/>
        <v>#REF!</v>
      </c>
      <c r="AI155" s="9" t="e">
        <f t="shared" si="88"/>
        <v>#REF!</v>
      </c>
      <c r="AJ155" s="9" t="e">
        <f t="shared" si="88"/>
        <v>#REF!</v>
      </c>
      <c r="AK155" s="9" t="e">
        <f t="shared" si="88"/>
        <v>#REF!</v>
      </c>
      <c r="AL155" s="9" t="e">
        <f t="shared" si="88"/>
        <v>#REF!</v>
      </c>
      <c r="AM155" s="9" t="e">
        <f t="shared" si="88"/>
        <v>#REF!</v>
      </c>
      <c r="AN155" s="9" t="e">
        <f t="shared" si="88"/>
        <v>#REF!</v>
      </c>
      <c r="AO155" s="9" t="e">
        <f t="shared" si="88"/>
        <v>#REF!</v>
      </c>
      <c r="AP155" s="9" t="e">
        <f t="shared" si="88"/>
        <v>#REF!</v>
      </c>
      <c r="AQ155" s="9" t="e">
        <f t="shared" si="88"/>
        <v>#REF!</v>
      </c>
      <c r="AR155" s="9" t="e">
        <f t="shared" si="88"/>
        <v>#REF!</v>
      </c>
      <c r="AS155" s="9" t="e">
        <f t="shared" si="88"/>
        <v>#REF!</v>
      </c>
      <c r="AT155" s="9" t="e">
        <f t="shared" si="88"/>
        <v>#REF!</v>
      </c>
      <c r="AU155" s="9" t="e">
        <f t="shared" si="88"/>
        <v>#REF!</v>
      </c>
      <c r="AV155" s="9" t="e">
        <f t="shared" si="88"/>
        <v>#REF!</v>
      </c>
      <c r="AW155" s="9" t="e">
        <f t="shared" si="88"/>
        <v>#REF!</v>
      </c>
      <c r="AX155" s="9" t="e">
        <f t="shared" si="88"/>
        <v>#REF!</v>
      </c>
      <c r="AY155" s="9" t="e">
        <f t="shared" si="88"/>
        <v>#REF!</v>
      </c>
      <c r="AZ155" s="9" t="e">
        <f t="shared" si="88"/>
        <v>#REF!</v>
      </c>
      <c r="BA155" s="9" t="e">
        <f t="shared" si="88"/>
        <v>#REF!</v>
      </c>
      <c r="BB155" s="9" t="e">
        <f t="shared" si="88"/>
        <v>#REF!</v>
      </c>
      <c r="BC155" s="9" t="e">
        <f t="shared" si="88"/>
        <v>#REF!</v>
      </c>
      <c r="BD155" s="9" t="e">
        <f t="shared" si="88"/>
        <v>#REF!</v>
      </c>
      <c r="BE155" s="9" t="e">
        <f t="shared" si="88"/>
        <v>#REF!</v>
      </c>
      <c r="BF155" s="9" t="e">
        <f t="shared" si="88"/>
        <v>#REF!</v>
      </c>
      <c r="BG155" s="9" t="e">
        <f t="shared" si="88"/>
        <v>#REF!</v>
      </c>
      <c r="BH155" s="9" t="e">
        <f t="shared" si="88"/>
        <v>#REF!</v>
      </c>
      <c r="BI155" s="9"/>
    </row>
    <row r="156" spans="1:61" hidden="1" x14ac:dyDescent="0.2">
      <c r="A156" t="s">
        <v>462</v>
      </c>
      <c r="C156" s="10" t="e">
        <f>SUM(C41,C50,C25,C77,C93,#REF!)</f>
        <v>#REF!</v>
      </c>
      <c r="D156" s="10" t="e">
        <f>SUM(D41,D50,D25,D77,D93,#REF!)</f>
        <v>#REF!</v>
      </c>
      <c r="E156" s="10" t="e">
        <f>SUM(E41,E50,E25,E77,E93,#REF!)</f>
        <v>#REF!</v>
      </c>
      <c r="F156" s="10" t="e">
        <f>SUM(F41,F50,F25,F77,F93,#REF!)</f>
        <v>#REF!</v>
      </c>
      <c r="G156" s="10" t="e">
        <f>SUM(G41,G50,G25,G77,G93,#REF!)</f>
        <v>#REF!</v>
      </c>
      <c r="H156" s="10" t="e">
        <f>SUM(H41,H50,H25,H77,H93,#REF!)</f>
        <v>#REF!</v>
      </c>
      <c r="I156" s="10" t="e">
        <f>SUM(I41,I50,I25,I77,I93,#REF!)</f>
        <v>#REF!</v>
      </c>
      <c r="J156" s="10" t="e">
        <f>SUM(J41,J50,J25,J77,J93,#REF!)</f>
        <v>#REF!</v>
      </c>
      <c r="K156" s="10" t="e">
        <f>SUM(K41,K50,K25,K77,K93,#REF!)</f>
        <v>#REF!</v>
      </c>
      <c r="L156" s="10" t="e">
        <f>SUM(L41,L50,L25,L77,L93,#REF!)</f>
        <v>#REF!</v>
      </c>
      <c r="M156" s="10" t="e">
        <f>SUM(M41,M50,M25,M77,M93,#REF!)</f>
        <v>#REF!</v>
      </c>
      <c r="N156" s="10" t="e">
        <f>SUM(N41,N50,N25,N77,N93,#REF!)</f>
        <v>#REF!</v>
      </c>
      <c r="O156" s="10" t="e">
        <f>SUM(O41,O50,O25,O77,O93,#REF!)</f>
        <v>#REF!</v>
      </c>
      <c r="P156" s="10" t="e">
        <f>SUM(P41,P50,P25,P77,P93,#REF!)</f>
        <v>#REF!</v>
      </c>
      <c r="Q156" s="10" t="e">
        <f>SUM(Q41,Q50,Q25,Q77,Q93,#REF!)</f>
        <v>#REF!</v>
      </c>
      <c r="R156" s="10" t="e">
        <f>SUM(R41,R50,R25,R77,R93,#REF!)</f>
        <v>#REF!</v>
      </c>
      <c r="S156" s="10" t="e">
        <f>SUM(S41,S50,S25,S77,S93,#REF!)</f>
        <v>#REF!</v>
      </c>
      <c r="T156" s="10" t="e">
        <f>SUM(T41,T50,T25,T77,T93,#REF!)</f>
        <v>#REF!</v>
      </c>
      <c r="U156" s="10" t="e">
        <f>SUM(U41,U50,U25,U77,U93,#REF!)</f>
        <v>#REF!</v>
      </c>
      <c r="V156" s="10" t="e">
        <f>SUM(V41,V50,V25,V77,V93,#REF!)</f>
        <v>#REF!</v>
      </c>
      <c r="W156" s="10" t="e">
        <f>SUM(W41,W50,W25,W77,W93,#REF!)</f>
        <v>#REF!</v>
      </c>
      <c r="X156" s="10" t="e">
        <f>SUM(X41,X50,X25,X77,X93,#REF!)</f>
        <v>#REF!</v>
      </c>
      <c r="Y156" s="10" t="e">
        <f>SUM(Y41,Y50,Y25,Y77,Y93,#REF!)</f>
        <v>#REF!</v>
      </c>
      <c r="Z156" s="10" t="e">
        <f>SUM(Z41,Z50,Z25,Z77,Z93,#REF!)</f>
        <v>#REF!</v>
      </c>
      <c r="AA156" s="10" t="e">
        <f>SUM(AA41,AA50,AA25,AA77,AA93,#REF!)</f>
        <v>#REF!</v>
      </c>
      <c r="AB156" s="10" t="e">
        <f>SUM(AB41,AB50,AB25,AB77,AB93,#REF!)</f>
        <v>#REF!</v>
      </c>
      <c r="AC156" s="10" t="e">
        <f>SUM(AC41,AC50,AC25,AC77,AC93,#REF!)</f>
        <v>#REF!</v>
      </c>
      <c r="AD156" s="10" t="e">
        <f>SUM(AD41,AD50,AD25,AD77,AD93,#REF!)</f>
        <v>#REF!</v>
      </c>
      <c r="AE156" s="10" t="e">
        <f>SUM(AE41,AE50,AE25,AE77,AE93,#REF!)</f>
        <v>#REF!</v>
      </c>
      <c r="AF156" s="10" t="e">
        <f>SUM(AF41,AF50,AF25,AF77,AF93,#REF!)</f>
        <v>#REF!</v>
      </c>
      <c r="AG156" s="10" t="e">
        <f>SUM(AG41,AG50,AG25,AG77,AG93,#REF!)</f>
        <v>#REF!</v>
      </c>
      <c r="AH156" s="10" t="e">
        <f>SUM(AH41,AH50,AH25,AH77,AH93,#REF!)</f>
        <v>#REF!</v>
      </c>
      <c r="AI156" s="10" t="e">
        <f>SUM(AI41,AI50,AI25,AI77,AI93,#REF!)</f>
        <v>#REF!</v>
      </c>
      <c r="AJ156" s="10" t="e">
        <f>SUM(AJ41,AJ50,AJ25,AJ77,AJ93,#REF!)</f>
        <v>#REF!</v>
      </c>
      <c r="AK156" s="10" t="e">
        <f>SUM(AK41,AK50,AK25,AK77,AK93,#REF!)</f>
        <v>#REF!</v>
      </c>
      <c r="AL156" s="10" t="e">
        <f>SUM(AL41,AL50,AL25,AL77,AL93,#REF!)</f>
        <v>#REF!</v>
      </c>
      <c r="AM156" s="10" t="e">
        <f>SUM(AM41,AM50,AM25,AM77,AM93,#REF!)</f>
        <v>#REF!</v>
      </c>
      <c r="AN156" s="10" t="e">
        <f>SUM(AN41,AN50,AN25,AN77,AN93,#REF!)</f>
        <v>#REF!</v>
      </c>
      <c r="AO156" s="10" t="e">
        <f>SUM(AO41,AO50,AO25,AO77,AO93,#REF!)</f>
        <v>#REF!</v>
      </c>
      <c r="AP156" s="10" t="e">
        <f>SUM(AP41,AP50,AP25,AP77,AP93,#REF!)</f>
        <v>#REF!</v>
      </c>
      <c r="AQ156" s="10" t="e">
        <f>SUM(AQ41,AQ50,AQ25,AQ77,AQ93,#REF!)</f>
        <v>#REF!</v>
      </c>
      <c r="AR156" s="10" t="e">
        <f>SUM(AR41,AR50,AR25,AR77,AR93,#REF!)</f>
        <v>#REF!</v>
      </c>
      <c r="AS156" s="10" t="e">
        <f>SUM(AS41,AS50,AS25,AS77,AS93,#REF!)</f>
        <v>#REF!</v>
      </c>
      <c r="AT156" s="10" t="e">
        <f>SUM(AT41,AT50,AT25,AT77,AT93,#REF!)</f>
        <v>#REF!</v>
      </c>
      <c r="AU156" s="10" t="e">
        <f>SUM(AU41,AU50,AU25,AU77,AU93,#REF!)</f>
        <v>#REF!</v>
      </c>
      <c r="AV156" s="10" t="e">
        <f>SUM(AV41,AV50,AV25,AV77,AV93,#REF!)</f>
        <v>#REF!</v>
      </c>
      <c r="AW156" s="10" t="e">
        <f>SUM(AW41,AW50,AW25,AW77,AW93,#REF!)</f>
        <v>#REF!</v>
      </c>
      <c r="AX156" s="10" t="e">
        <f>SUM(AX41,AX50,AX25,AX77,AX93,#REF!)</f>
        <v>#REF!</v>
      </c>
      <c r="AY156" s="10" t="e">
        <f>SUM(AY41,AY50,AY25,AY77,AY93,#REF!)</f>
        <v>#REF!</v>
      </c>
      <c r="AZ156" s="10" t="e">
        <f>SUM(AZ41,AZ50,AZ25,AZ77,AZ93,#REF!)</f>
        <v>#REF!</v>
      </c>
      <c r="BA156" s="10" t="e">
        <f>SUM(BA41,BA50,BA25,BA77,BA93,#REF!)</f>
        <v>#REF!</v>
      </c>
      <c r="BB156" s="10" t="e">
        <f>SUM(BB41,BB50,BB25,BB77,BB93,#REF!)</f>
        <v>#REF!</v>
      </c>
      <c r="BC156" s="10" t="e">
        <f>SUM(BC41,BC50,BC25,BC77,BC93,#REF!)</f>
        <v>#REF!</v>
      </c>
      <c r="BD156" s="10" t="e">
        <f>SUM(BD41,BD50,BD25,BD77,BD93,#REF!)</f>
        <v>#REF!</v>
      </c>
      <c r="BE156" s="10" t="e">
        <f>SUM(BE41,BE50,BE25,BE77,BE93,#REF!)</f>
        <v>#REF!</v>
      </c>
      <c r="BF156" s="10" t="e">
        <f>SUM(BF41,BF50,BF25,BF77,BF93,#REF!)</f>
        <v>#REF!</v>
      </c>
      <c r="BG156" s="10" t="e">
        <f>SUM(BG41,BG50,BG25,BG77,BG93,#REF!)</f>
        <v>#REF!</v>
      </c>
      <c r="BH156" s="10" t="e">
        <f>SUM(BH41,BH50,BH25,BH77,BH93,#REF!)</f>
        <v>#REF!</v>
      </c>
      <c r="BI156" s="10"/>
    </row>
    <row r="157" spans="1:61" hidden="1" x14ac:dyDescent="0.2">
      <c r="A157" t="s">
        <v>515</v>
      </c>
      <c r="C157" s="40" t="e">
        <f xml:space="preserve"> C135-C138-C146+C150-C153</f>
        <v>#REF!</v>
      </c>
      <c r="D157" s="40" t="e">
        <f xml:space="preserve"> D135-D138-D146+D150-D153</f>
        <v>#REF!</v>
      </c>
      <c r="E157" s="40" t="e">
        <f xml:space="preserve"> E135-E138-E146+E150-E153</f>
        <v>#REF!</v>
      </c>
      <c r="F157" s="40" t="e">
        <f xml:space="preserve"> F135-F138-F146+F150-F153</f>
        <v>#REF!</v>
      </c>
      <c r="G157" s="40" t="e">
        <f xml:space="preserve"> G135-G138-G146+G150-G153</f>
        <v>#REF!</v>
      </c>
      <c r="H157" s="40" t="e">
        <f t="shared" ref="H157:BH157" si="89" xml:space="preserve"> H135-H138-H146+H150-H153</f>
        <v>#REF!</v>
      </c>
      <c r="I157" s="40" t="e">
        <f t="shared" si="89"/>
        <v>#REF!</v>
      </c>
      <c r="J157" s="40" t="e">
        <f t="shared" si="89"/>
        <v>#REF!</v>
      </c>
      <c r="K157" s="40" t="e">
        <f t="shared" si="89"/>
        <v>#REF!</v>
      </c>
      <c r="L157" s="40" t="e">
        <f t="shared" si="89"/>
        <v>#REF!</v>
      </c>
      <c r="M157" s="40" t="e">
        <f t="shared" si="89"/>
        <v>#REF!</v>
      </c>
      <c r="N157" s="40" t="e">
        <f t="shared" si="89"/>
        <v>#REF!</v>
      </c>
      <c r="O157" s="40" t="e">
        <f t="shared" si="89"/>
        <v>#REF!</v>
      </c>
      <c r="P157" s="40" t="e">
        <f t="shared" si="89"/>
        <v>#REF!</v>
      </c>
      <c r="Q157" s="40" t="e">
        <f t="shared" si="89"/>
        <v>#REF!</v>
      </c>
      <c r="R157" s="40" t="e">
        <f t="shared" si="89"/>
        <v>#REF!</v>
      </c>
      <c r="S157" s="40" t="e">
        <f t="shared" si="89"/>
        <v>#REF!</v>
      </c>
      <c r="T157" s="40" t="e">
        <f t="shared" si="89"/>
        <v>#REF!</v>
      </c>
      <c r="U157" s="40" t="e">
        <f t="shared" si="89"/>
        <v>#REF!</v>
      </c>
      <c r="V157" s="40" t="e">
        <f t="shared" si="89"/>
        <v>#REF!</v>
      </c>
      <c r="W157" s="40" t="e">
        <f t="shared" si="89"/>
        <v>#REF!</v>
      </c>
      <c r="X157" s="40" t="e">
        <f t="shared" si="89"/>
        <v>#REF!</v>
      </c>
      <c r="Y157" s="40" t="e">
        <f t="shared" si="89"/>
        <v>#REF!</v>
      </c>
      <c r="Z157" s="40" t="e">
        <f t="shared" si="89"/>
        <v>#REF!</v>
      </c>
      <c r="AA157" s="40" t="e">
        <f t="shared" si="89"/>
        <v>#REF!</v>
      </c>
      <c r="AB157" s="40" t="e">
        <f t="shared" si="89"/>
        <v>#REF!</v>
      </c>
      <c r="AC157" s="40" t="e">
        <f t="shared" si="89"/>
        <v>#REF!</v>
      </c>
      <c r="AD157" s="40" t="e">
        <f t="shared" si="89"/>
        <v>#REF!</v>
      </c>
      <c r="AE157" s="40" t="e">
        <f t="shared" si="89"/>
        <v>#REF!</v>
      </c>
      <c r="AF157" s="40" t="e">
        <f t="shared" si="89"/>
        <v>#REF!</v>
      </c>
      <c r="AG157" s="40" t="e">
        <f t="shared" si="89"/>
        <v>#REF!</v>
      </c>
      <c r="AH157" s="40" t="e">
        <f t="shared" si="89"/>
        <v>#REF!</v>
      </c>
      <c r="AI157" s="40" t="e">
        <f t="shared" si="89"/>
        <v>#REF!</v>
      </c>
      <c r="AJ157" s="40" t="e">
        <f t="shared" si="89"/>
        <v>#REF!</v>
      </c>
      <c r="AK157" s="40" t="e">
        <f t="shared" si="89"/>
        <v>#REF!</v>
      </c>
      <c r="AL157" s="40" t="e">
        <f t="shared" si="89"/>
        <v>#REF!</v>
      </c>
      <c r="AM157" s="40" t="e">
        <f t="shared" si="89"/>
        <v>#REF!</v>
      </c>
      <c r="AN157" s="40" t="e">
        <f t="shared" si="89"/>
        <v>#REF!</v>
      </c>
      <c r="AO157" s="40" t="e">
        <f t="shared" si="89"/>
        <v>#REF!</v>
      </c>
      <c r="AP157" s="40" t="e">
        <f t="shared" si="89"/>
        <v>#REF!</v>
      </c>
      <c r="AQ157" s="40" t="e">
        <f t="shared" si="89"/>
        <v>#REF!</v>
      </c>
      <c r="AR157" s="40" t="e">
        <f t="shared" si="89"/>
        <v>#REF!</v>
      </c>
      <c r="AS157" s="40" t="e">
        <f t="shared" si="89"/>
        <v>#REF!</v>
      </c>
      <c r="AT157" s="40" t="e">
        <f t="shared" si="89"/>
        <v>#REF!</v>
      </c>
      <c r="AU157" s="40" t="e">
        <f t="shared" si="89"/>
        <v>#REF!</v>
      </c>
      <c r="AV157" s="40" t="e">
        <f t="shared" si="89"/>
        <v>#REF!</v>
      </c>
      <c r="AW157" s="40" t="e">
        <f t="shared" si="89"/>
        <v>#REF!</v>
      </c>
      <c r="AX157" s="40" t="e">
        <f t="shared" si="89"/>
        <v>#REF!</v>
      </c>
      <c r="AY157" s="40" t="e">
        <f t="shared" si="89"/>
        <v>#REF!</v>
      </c>
      <c r="AZ157" s="40" t="e">
        <f t="shared" si="89"/>
        <v>#REF!</v>
      </c>
      <c r="BA157" s="40" t="e">
        <f t="shared" si="89"/>
        <v>#REF!</v>
      </c>
      <c r="BB157" s="40" t="e">
        <f t="shared" si="89"/>
        <v>#REF!</v>
      </c>
      <c r="BC157" s="40" t="e">
        <f t="shared" si="89"/>
        <v>#REF!</v>
      </c>
      <c r="BD157" s="40" t="e">
        <f t="shared" si="89"/>
        <v>#REF!</v>
      </c>
      <c r="BE157" s="40" t="e">
        <f t="shared" si="89"/>
        <v>#REF!</v>
      </c>
      <c r="BF157" s="40" t="e">
        <f t="shared" si="89"/>
        <v>#REF!</v>
      </c>
      <c r="BG157" s="40" t="e">
        <f t="shared" si="89"/>
        <v>#REF!</v>
      </c>
      <c r="BH157" s="40" t="e">
        <f t="shared" si="89"/>
        <v>#REF!</v>
      </c>
    </row>
    <row r="158" spans="1:61" s="74" customFormat="1" hidden="1" x14ac:dyDescent="0.2">
      <c r="A158" s="74" t="s">
        <v>579</v>
      </c>
      <c r="C158" s="75">
        <f t="shared" ref="C158:BH158" si="90" xml:space="preserve"> SUM(C25,C41,C50,C93)</f>
        <v>0</v>
      </c>
      <c r="D158" s="75" t="e">
        <f t="shared" si="90"/>
        <v>#REF!</v>
      </c>
      <c r="E158" s="75" t="e">
        <f t="shared" si="90"/>
        <v>#REF!</v>
      </c>
      <c r="F158" s="75" t="e">
        <f t="shared" si="90"/>
        <v>#REF!</v>
      </c>
      <c r="G158" s="75" t="e">
        <f t="shared" si="90"/>
        <v>#REF!</v>
      </c>
      <c r="H158" s="75" t="e">
        <f t="shared" si="90"/>
        <v>#REF!</v>
      </c>
      <c r="I158" s="75" t="e">
        <f t="shared" si="90"/>
        <v>#REF!</v>
      </c>
      <c r="J158" s="75" t="e">
        <f t="shared" si="90"/>
        <v>#REF!</v>
      </c>
      <c r="K158" s="75" t="e">
        <f t="shared" si="90"/>
        <v>#REF!</v>
      </c>
      <c r="L158" s="75" t="e">
        <f t="shared" si="90"/>
        <v>#REF!</v>
      </c>
      <c r="M158" s="75" t="e">
        <f t="shared" si="90"/>
        <v>#REF!</v>
      </c>
      <c r="N158" s="75" t="e">
        <f t="shared" si="90"/>
        <v>#REF!</v>
      </c>
      <c r="O158" s="75" t="e">
        <f t="shared" si="90"/>
        <v>#REF!</v>
      </c>
      <c r="P158" s="75" t="e">
        <f t="shared" si="90"/>
        <v>#REF!</v>
      </c>
      <c r="Q158" s="75" t="e">
        <f t="shared" si="90"/>
        <v>#REF!</v>
      </c>
      <c r="R158" s="75" t="e">
        <f t="shared" si="90"/>
        <v>#REF!</v>
      </c>
      <c r="S158" s="75" t="e">
        <f t="shared" si="90"/>
        <v>#REF!</v>
      </c>
      <c r="T158" s="75" t="e">
        <f t="shared" si="90"/>
        <v>#REF!</v>
      </c>
      <c r="U158" s="75" t="e">
        <f t="shared" si="90"/>
        <v>#REF!</v>
      </c>
      <c r="V158" s="75" t="e">
        <f t="shared" si="90"/>
        <v>#REF!</v>
      </c>
      <c r="W158" s="75" t="e">
        <f t="shared" si="90"/>
        <v>#REF!</v>
      </c>
      <c r="X158" s="75" t="e">
        <f t="shared" si="90"/>
        <v>#REF!</v>
      </c>
      <c r="Y158" s="75" t="e">
        <f t="shared" si="90"/>
        <v>#REF!</v>
      </c>
      <c r="Z158" s="75" t="e">
        <f t="shared" si="90"/>
        <v>#REF!</v>
      </c>
      <c r="AA158" s="75" t="e">
        <f t="shared" si="90"/>
        <v>#REF!</v>
      </c>
      <c r="AB158" s="75" t="e">
        <f t="shared" si="90"/>
        <v>#REF!</v>
      </c>
      <c r="AC158" s="75" t="e">
        <f t="shared" si="90"/>
        <v>#REF!</v>
      </c>
      <c r="AD158" s="75" t="e">
        <f t="shared" si="90"/>
        <v>#REF!</v>
      </c>
      <c r="AE158" s="75" t="e">
        <f t="shared" si="90"/>
        <v>#REF!</v>
      </c>
      <c r="AF158" s="75" t="e">
        <f t="shared" si="90"/>
        <v>#REF!</v>
      </c>
      <c r="AG158" s="75" t="e">
        <f t="shared" si="90"/>
        <v>#REF!</v>
      </c>
      <c r="AH158" s="75" t="e">
        <f t="shared" si="90"/>
        <v>#REF!</v>
      </c>
      <c r="AI158" s="75" t="e">
        <f t="shared" si="90"/>
        <v>#REF!</v>
      </c>
      <c r="AJ158" s="75" t="e">
        <f t="shared" si="90"/>
        <v>#REF!</v>
      </c>
      <c r="AK158" s="75" t="e">
        <f t="shared" si="90"/>
        <v>#REF!</v>
      </c>
      <c r="AL158" s="75" t="e">
        <f t="shared" si="90"/>
        <v>#REF!</v>
      </c>
      <c r="AM158" s="75" t="e">
        <f t="shared" si="90"/>
        <v>#REF!</v>
      </c>
      <c r="AN158" s="75" t="e">
        <f t="shared" si="90"/>
        <v>#REF!</v>
      </c>
      <c r="AO158" s="75" t="e">
        <f t="shared" si="90"/>
        <v>#REF!</v>
      </c>
      <c r="AP158" s="75" t="e">
        <f t="shared" si="90"/>
        <v>#REF!</v>
      </c>
      <c r="AQ158" s="75" t="e">
        <f t="shared" si="90"/>
        <v>#REF!</v>
      </c>
      <c r="AR158" s="75" t="e">
        <f t="shared" si="90"/>
        <v>#REF!</v>
      </c>
      <c r="AS158" s="75" t="e">
        <f t="shared" si="90"/>
        <v>#REF!</v>
      </c>
      <c r="AT158" s="75" t="e">
        <f t="shared" si="90"/>
        <v>#REF!</v>
      </c>
      <c r="AU158" s="75" t="e">
        <f t="shared" si="90"/>
        <v>#REF!</v>
      </c>
      <c r="AV158" s="75" t="e">
        <f t="shared" si="90"/>
        <v>#REF!</v>
      </c>
      <c r="AW158" s="75" t="e">
        <f t="shared" si="90"/>
        <v>#REF!</v>
      </c>
      <c r="AX158" s="75" t="e">
        <f t="shared" si="90"/>
        <v>#REF!</v>
      </c>
      <c r="AY158" s="75" t="e">
        <f t="shared" si="90"/>
        <v>#REF!</v>
      </c>
      <c r="AZ158" s="75" t="e">
        <f t="shared" si="90"/>
        <v>#REF!</v>
      </c>
      <c r="BA158" s="75" t="e">
        <f t="shared" si="90"/>
        <v>#REF!</v>
      </c>
      <c r="BB158" s="75" t="e">
        <f t="shared" si="90"/>
        <v>#REF!</v>
      </c>
      <c r="BC158" s="75" t="e">
        <f t="shared" si="90"/>
        <v>#REF!</v>
      </c>
      <c r="BD158" s="75" t="e">
        <f t="shared" si="90"/>
        <v>#REF!</v>
      </c>
      <c r="BE158" s="75" t="e">
        <f t="shared" si="90"/>
        <v>#REF!</v>
      </c>
      <c r="BF158" s="75" t="e">
        <f t="shared" si="90"/>
        <v>#REF!</v>
      </c>
      <c r="BG158" s="75" t="e">
        <f t="shared" si="90"/>
        <v>#REF!</v>
      </c>
      <c r="BH158" s="75" t="e">
        <f t="shared" si="90"/>
        <v>#REF!</v>
      </c>
    </row>
  </sheetData>
  <sheetProtection selectLockedCells="1" selectUnlockedCells="1"/>
  <dataConsolidate/>
  <printOptions gridLines="1"/>
  <pageMargins left="0.78749999999999998" right="0.78749999999999998" top="1.0527777777777778" bottom="1.0527777777777778" header="0.78749999999999998" footer="0.78749999999999998"/>
  <pageSetup scale="77" firstPageNumber="0" fitToWidth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8"/>
  <sheetViews>
    <sheetView zoomScale="110" zoomScaleNormal="110" workbookViewId="0">
      <selection activeCell="B24" sqref="B24"/>
    </sheetView>
  </sheetViews>
  <sheetFormatPr defaultColWidth="11.5703125" defaultRowHeight="12.75" x14ac:dyDescent="0.2"/>
  <cols>
    <col min="1" max="1" width="27" customWidth="1"/>
    <col min="2" max="2" width="18" style="10" customWidth="1"/>
    <col min="3" max="3" width="11.5703125" style="10"/>
    <col min="4" max="4" width="13.5703125" style="10" customWidth="1"/>
  </cols>
  <sheetData>
    <row r="1" spans="1:4" x14ac:dyDescent="0.2">
      <c r="A1" s="1" t="s">
        <v>32</v>
      </c>
      <c r="B1" s="12" t="s">
        <v>630</v>
      </c>
      <c r="C1" s="12" t="s">
        <v>34</v>
      </c>
      <c r="D1" s="12" t="s">
        <v>35</v>
      </c>
    </row>
    <row r="2" spans="1:4" x14ac:dyDescent="0.2">
      <c r="A2" t="s">
        <v>36</v>
      </c>
      <c r="B2" s="10">
        <v>180000</v>
      </c>
      <c r="C2" s="10">
        <f>0.3*B2</f>
        <v>54000</v>
      </c>
      <c r="D2" s="10">
        <f>B2+C2</f>
        <v>234000</v>
      </c>
    </row>
    <row r="3" spans="1:4" x14ac:dyDescent="0.2">
      <c r="A3" t="s">
        <v>37</v>
      </c>
      <c r="B3" s="10">
        <v>160000</v>
      </c>
      <c r="C3" s="10">
        <f t="shared" ref="C3:C6" si="0">0.3*B3</f>
        <v>48000</v>
      </c>
      <c r="D3" s="10">
        <f>B3+C3</f>
        <v>208000</v>
      </c>
    </row>
    <row r="4" spans="1:4" x14ac:dyDescent="0.2">
      <c r="A4" t="s">
        <v>38</v>
      </c>
      <c r="B4" s="10">
        <v>150000</v>
      </c>
      <c r="C4" s="10">
        <f t="shared" si="0"/>
        <v>45000</v>
      </c>
      <c r="D4" s="10">
        <f>B4+C4</f>
        <v>195000</v>
      </c>
    </row>
    <row r="5" spans="1:4" x14ac:dyDescent="0.2">
      <c r="A5" t="s">
        <v>39</v>
      </c>
      <c r="B5" s="10">
        <v>150000</v>
      </c>
      <c r="C5" s="10">
        <f t="shared" si="0"/>
        <v>45000</v>
      </c>
      <c r="D5" s="10">
        <f>B5+C5</f>
        <v>195000</v>
      </c>
    </row>
    <row r="6" spans="1:4" x14ac:dyDescent="0.2">
      <c r="A6" t="s">
        <v>40</v>
      </c>
      <c r="B6" s="10">
        <v>80000</v>
      </c>
      <c r="C6" s="10">
        <f t="shared" si="0"/>
        <v>24000</v>
      </c>
      <c r="D6" s="10">
        <f>B6+C6</f>
        <v>104000</v>
      </c>
    </row>
    <row r="7" spans="1:4" x14ac:dyDescent="0.2">
      <c r="A7" s="1" t="s">
        <v>41</v>
      </c>
      <c r="D7" s="12">
        <f>SUM(D2:D6)</f>
        <v>936000</v>
      </c>
    </row>
    <row r="9" spans="1:4" x14ac:dyDescent="0.2">
      <c r="A9" t="s">
        <v>42</v>
      </c>
      <c r="B9" s="10">
        <v>50000</v>
      </c>
      <c r="D9" s="10">
        <f t="shared" ref="D9:D17" si="1">B9+C9</f>
        <v>50000</v>
      </c>
    </row>
    <row r="10" spans="1:4" x14ac:dyDescent="0.2">
      <c r="A10" t="s">
        <v>43</v>
      </c>
      <c r="B10" s="10">
        <v>10000</v>
      </c>
      <c r="D10" s="10">
        <f t="shared" si="1"/>
        <v>10000</v>
      </c>
    </row>
    <row r="11" spans="1:4" x14ac:dyDescent="0.2">
      <c r="A11" t="s">
        <v>44</v>
      </c>
      <c r="B11" s="10">
        <f>1000*12</f>
        <v>12000</v>
      </c>
      <c r="D11" s="10">
        <f t="shared" si="1"/>
        <v>12000</v>
      </c>
    </row>
    <row r="12" spans="1:4" x14ac:dyDescent="0.2">
      <c r="A12" t="s">
        <v>45</v>
      </c>
      <c r="B12" s="10">
        <v>5000</v>
      </c>
      <c r="D12" s="10">
        <f t="shared" si="1"/>
        <v>5000</v>
      </c>
    </row>
    <row r="13" spans="1:4" x14ac:dyDescent="0.2">
      <c r="A13" t="s">
        <v>46</v>
      </c>
      <c r="B13" s="10">
        <v>10000</v>
      </c>
      <c r="D13" s="10">
        <f t="shared" si="1"/>
        <v>10000</v>
      </c>
    </row>
    <row r="14" spans="1:4" x14ac:dyDescent="0.2">
      <c r="A14" t="s">
        <v>47</v>
      </c>
      <c r="B14" s="10">
        <v>5000</v>
      </c>
      <c r="D14" s="10">
        <f t="shared" si="1"/>
        <v>5000</v>
      </c>
    </row>
    <row r="15" spans="1:4" x14ac:dyDescent="0.2">
      <c r="A15" t="s">
        <v>48</v>
      </c>
      <c r="B15" s="10">
        <f>180*12</f>
        <v>2160</v>
      </c>
      <c r="D15" s="10">
        <f t="shared" si="1"/>
        <v>2160</v>
      </c>
    </row>
    <row r="16" spans="1:4" x14ac:dyDescent="0.2">
      <c r="A16" t="s">
        <v>49</v>
      </c>
      <c r="B16" s="10">
        <f>150*12</f>
        <v>1800</v>
      </c>
      <c r="D16" s="10">
        <f t="shared" si="1"/>
        <v>1800</v>
      </c>
    </row>
    <row r="17" spans="1:4" x14ac:dyDescent="0.2">
      <c r="A17" t="s">
        <v>50</v>
      </c>
      <c r="B17" s="10">
        <f>100*12</f>
        <v>1200</v>
      </c>
      <c r="D17" s="10">
        <f t="shared" si="1"/>
        <v>1200</v>
      </c>
    </row>
    <row r="18" spans="1:4" x14ac:dyDescent="0.2">
      <c r="A18" s="1" t="s">
        <v>51</v>
      </c>
      <c r="D18" s="12">
        <f>SUM(D9:D17)</f>
        <v>97160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5"/>
  <sheetViews>
    <sheetView zoomScale="110" zoomScaleNormal="110" workbookViewId="0">
      <selection activeCell="E24" sqref="E24"/>
    </sheetView>
  </sheetViews>
  <sheetFormatPr defaultColWidth="11.5703125" defaultRowHeight="12.75" x14ac:dyDescent="0.2"/>
  <cols>
    <col min="1" max="1" width="27.42578125" customWidth="1"/>
    <col min="2" max="2" width="13.42578125" style="10" customWidth="1"/>
    <col min="3" max="3" width="11.5703125" style="10"/>
    <col min="4" max="4" width="14.42578125" style="10" customWidth="1"/>
  </cols>
  <sheetData>
    <row r="1" spans="1:4" x14ac:dyDescent="0.2">
      <c r="A1" s="1" t="s">
        <v>32</v>
      </c>
      <c r="B1" s="12" t="s">
        <v>33</v>
      </c>
      <c r="C1" s="12" t="s">
        <v>34</v>
      </c>
      <c r="D1" s="12" t="s">
        <v>35</v>
      </c>
    </row>
    <row r="2" spans="1:4" x14ac:dyDescent="0.2">
      <c r="A2" t="s">
        <v>52</v>
      </c>
      <c r="B2" s="10">
        <v>200000</v>
      </c>
      <c r="C2" s="10">
        <f>0.3*B2</f>
        <v>60000</v>
      </c>
      <c r="D2" s="10">
        <f t="shared" ref="D2:D8" si="0">B2+C2</f>
        <v>260000</v>
      </c>
    </row>
    <row r="3" spans="1:4" x14ac:dyDescent="0.2">
      <c r="A3" t="s">
        <v>53</v>
      </c>
      <c r="B3" s="10">
        <v>200000</v>
      </c>
      <c r="C3" s="10">
        <f t="shared" ref="C3:C8" si="1">0.3*B3</f>
        <v>60000</v>
      </c>
      <c r="D3" s="10">
        <f t="shared" si="0"/>
        <v>260000</v>
      </c>
    </row>
    <row r="4" spans="1:4" x14ac:dyDescent="0.2">
      <c r="A4" t="s">
        <v>54</v>
      </c>
      <c r="B4" s="10">
        <v>180000</v>
      </c>
      <c r="C4" s="10">
        <f t="shared" si="1"/>
        <v>54000</v>
      </c>
      <c r="D4" s="10">
        <f t="shared" si="0"/>
        <v>234000</v>
      </c>
    </row>
    <row r="5" spans="1:4" x14ac:dyDescent="0.2">
      <c r="A5" t="s">
        <v>55</v>
      </c>
      <c r="B5" s="10">
        <v>180000</v>
      </c>
      <c r="C5" s="10">
        <f t="shared" si="1"/>
        <v>54000</v>
      </c>
      <c r="D5" s="10">
        <f t="shared" si="0"/>
        <v>234000</v>
      </c>
    </row>
    <row r="6" spans="1:4" x14ac:dyDescent="0.2">
      <c r="A6" t="s">
        <v>56</v>
      </c>
      <c r="B6" s="10">
        <v>75000</v>
      </c>
      <c r="C6" s="10">
        <f t="shared" si="1"/>
        <v>22500</v>
      </c>
      <c r="D6" s="10">
        <f t="shared" si="0"/>
        <v>97500</v>
      </c>
    </row>
    <row r="7" spans="1:4" x14ac:dyDescent="0.2">
      <c r="A7" t="s">
        <v>57</v>
      </c>
      <c r="B7" s="10">
        <v>100000</v>
      </c>
      <c r="C7" s="10">
        <f t="shared" si="1"/>
        <v>30000</v>
      </c>
      <c r="D7" s="10">
        <f t="shared" si="0"/>
        <v>130000</v>
      </c>
    </row>
    <row r="8" spans="1:4" x14ac:dyDescent="0.2">
      <c r="A8" t="s">
        <v>58</v>
      </c>
      <c r="B8" s="10">
        <v>75000</v>
      </c>
      <c r="C8" s="10">
        <f t="shared" si="1"/>
        <v>22500</v>
      </c>
      <c r="D8" s="10">
        <f t="shared" si="0"/>
        <v>97500</v>
      </c>
    </row>
    <row r="9" spans="1:4" x14ac:dyDescent="0.2">
      <c r="A9" s="1" t="s">
        <v>59</v>
      </c>
      <c r="D9" s="12">
        <f>SUM(D2:D8)</f>
        <v>1313000</v>
      </c>
    </row>
    <row r="11" spans="1:4" x14ac:dyDescent="0.2">
      <c r="A11" t="s">
        <v>60</v>
      </c>
      <c r="B11" s="10">
        <v>9000</v>
      </c>
      <c r="D11" s="10">
        <f>B11+C11</f>
        <v>9000</v>
      </c>
    </row>
    <row r="12" spans="1:4" x14ac:dyDescent="0.2">
      <c r="A12" t="s">
        <v>61</v>
      </c>
      <c r="B12" s="10">
        <f>1200*5</f>
        <v>6000</v>
      </c>
      <c r="D12" s="10">
        <f>B12+C12</f>
        <v>6000</v>
      </c>
    </row>
    <row r="13" spans="1:4" x14ac:dyDescent="0.2">
      <c r="A13" t="s">
        <v>482</v>
      </c>
      <c r="B13" s="10">
        <v>5000</v>
      </c>
      <c r="D13" s="10">
        <f>B13+C13</f>
        <v>5000</v>
      </c>
    </row>
    <row r="14" spans="1:4" x14ac:dyDescent="0.2">
      <c r="A14" t="s">
        <v>46</v>
      </c>
      <c r="B14" s="10">
        <v>5000</v>
      </c>
      <c r="D14" s="10">
        <f>B14+C14</f>
        <v>5000</v>
      </c>
    </row>
    <row r="15" spans="1:4" x14ac:dyDescent="0.2">
      <c r="A15" s="1" t="s">
        <v>62</v>
      </c>
      <c r="B15"/>
      <c r="C15"/>
      <c r="D15" s="12">
        <f>SUM(D11:D14)</f>
        <v>25000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3"/>
  <sheetViews>
    <sheetView topLeftCell="A12" zoomScale="110" zoomScaleNormal="110" workbookViewId="0">
      <selection activeCell="A21" sqref="A21"/>
    </sheetView>
  </sheetViews>
  <sheetFormatPr defaultRowHeight="12.75" x14ac:dyDescent="0.2"/>
  <cols>
    <col min="1" max="1" width="22.85546875" customWidth="1"/>
    <col min="2" max="2" width="10.5703125" customWidth="1"/>
    <col min="3" max="3" width="11.140625" customWidth="1"/>
    <col min="4" max="4" width="9.42578125" customWidth="1"/>
    <col min="8" max="8" width="11.7109375" customWidth="1"/>
    <col min="9" max="9" width="15.5703125" customWidth="1"/>
    <col min="10" max="10" width="10.85546875" customWidth="1"/>
    <col min="11" max="11" width="12.5703125" customWidth="1"/>
    <col min="12" max="12" width="15.140625" customWidth="1"/>
    <col min="13" max="13" width="9.5703125" customWidth="1"/>
    <col min="14" max="14" width="16.140625" customWidth="1"/>
    <col min="15" max="15" width="19" customWidth="1"/>
  </cols>
  <sheetData>
    <row r="1" spans="1:15" ht="38.25" hidden="1" x14ac:dyDescent="0.2">
      <c r="A1" t="s">
        <v>64</v>
      </c>
      <c r="G1" s="2"/>
      <c r="I1" s="2"/>
      <c r="L1" s="14" t="s">
        <v>65</v>
      </c>
      <c r="M1" s="15"/>
      <c r="N1" s="2"/>
    </row>
    <row r="2" spans="1:15" hidden="1" x14ac:dyDescent="0.2">
      <c r="A2">
        <v>20</v>
      </c>
      <c r="B2" t="s">
        <v>66</v>
      </c>
      <c r="C2">
        <v>22</v>
      </c>
      <c r="D2" t="s">
        <v>67</v>
      </c>
      <c r="E2">
        <v>1</v>
      </c>
      <c r="F2" t="s">
        <v>68</v>
      </c>
      <c r="G2" s="2">
        <v>0.12</v>
      </c>
      <c r="H2" t="s">
        <v>69</v>
      </c>
      <c r="I2" s="2">
        <f>G2/C2*1000</f>
        <v>5.4545454545454541</v>
      </c>
      <c r="J2" t="s">
        <v>70</v>
      </c>
      <c r="L2" s="5">
        <v>120000</v>
      </c>
      <c r="M2" s="15" t="s">
        <v>67</v>
      </c>
      <c r="N2" s="2">
        <f>I2*L2/1000*24*365*0.9</f>
        <v>5160436.3636363633</v>
      </c>
      <c r="O2" t="s">
        <v>71</v>
      </c>
    </row>
    <row r="3" spans="1:15" hidden="1" x14ac:dyDescent="0.2">
      <c r="A3">
        <v>20</v>
      </c>
      <c r="B3" t="s">
        <v>66</v>
      </c>
      <c r="C3">
        <v>30</v>
      </c>
      <c r="D3" t="s">
        <v>67</v>
      </c>
      <c r="E3">
        <v>1</v>
      </c>
      <c r="F3" t="s">
        <v>68</v>
      </c>
      <c r="G3" s="2">
        <v>0.12</v>
      </c>
      <c r="H3" t="s">
        <v>69</v>
      </c>
      <c r="I3" s="2">
        <f>G3/C3*1000</f>
        <v>4</v>
      </c>
      <c r="J3" t="s">
        <v>70</v>
      </c>
      <c r="L3" s="5">
        <v>120000</v>
      </c>
      <c r="M3" s="15" t="s">
        <v>67</v>
      </c>
      <c r="N3" s="2">
        <f>I3*L3/1000*24*365*0.9</f>
        <v>3784320</v>
      </c>
      <c r="O3" t="s">
        <v>71</v>
      </c>
    </row>
    <row r="4" spans="1:15" ht="15.75" hidden="1" x14ac:dyDescent="0.3">
      <c r="A4">
        <v>20</v>
      </c>
      <c r="B4" t="s">
        <v>66</v>
      </c>
      <c r="C4">
        <v>1156.2</v>
      </c>
      <c r="D4" t="s">
        <v>72</v>
      </c>
      <c r="E4">
        <v>959.9</v>
      </c>
      <c r="F4" t="s">
        <v>72</v>
      </c>
      <c r="G4" s="16">
        <v>3.9673726999999999</v>
      </c>
      <c r="H4" t="s">
        <v>73</v>
      </c>
      <c r="I4" s="5">
        <f>L3*E4</f>
        <v>115188000</v>
      </c>
      <c r="J4" t="s">
        <v>74</v>
      </c>
      <c r="L4" s="17">
        <f>I4/L10</f>
        <v>33758.266801323043</v>
      </c>
      <c r="M4" t="s">
        <v>75</v>
      </c>
    </row>
    <row r="5" spans="1:15" ht="39.75" hidden="1" x14ac:dyDescent="0.3">
      <c r="A5" t="s">
        <v>64</v>
      </c>
      <c r="C5" t="s">
        <v>76</v>
      </c>
      <c r="E5" t="s">
        <v>77</v>
      </c>
      <c r="G5" t="s">
        <v>73</v>
      </c>
      <c r="I5" s="18" t="s">
        <v>78</v>
      </c>
      <c r="L5" s="18" t="s">
        <v>79</v>
      </c>
    </row>
    <row r="6" spans="1:15" hidden="1" x14ac:dyDescent="0.2">
      <c r="A6">
        <v>20</v>
      </c>
      <c r="B6" t="s">
        <v>66</v>
      </c>
      <c r="C6">
        <v>1156.2</v>
      </c>
      <c r="D6" t="s">
        <v>72</v>
      </c>
      <c r="E6">
        <v>959.9</v>
      </c>
      <c r="F6" t="s">
        <v>72</v>
      </c>
      <c r="G6" s="16">
        <v>3.9673726999999999</v>
      </c>
      <c r="H6" t="s">
        <v>73</v>
      </c>
      <c r="I6" s="5">
        <v>1250000</v>
      </c>
      <c r="J6" t="s">
        <v>80</v>
      </c>
      <c r="K6" s="8"/>
      <c r="L6" s="5">
        <f>I6*G6/E6</f>
        <v>5166.3880352120013</v>
      </c>
      <c r="M6" t="s">
        <v>67</v>
      </c>
      <c r="N6" s="2">
        <f>I7*L6/1000*24*365*0.9</f>
        <v>222.17347237969864</v>
      </c>
      <c r="O6" t="s">
        <v>81</v>
      </c>
    </row>
    <row r="7" spans="1:15" hidden="1" x14ac:dyDescent="0.2">
      <c r="A7">
        <v>20</v>
      </c>
      <c r="B7" t="s">
        <v>66</v>
      </c>
      <c r="C7">
        <v>22</v>
      </c>
      <c r="D7" t="s">
        <v>67</v>
      </c>
      <c r="E7">
        <v>1</v>
      </c>
      <c r="F7" t="s">
        <v>68</v>
      </c>
      <c r="G7" s="2">
        <v>0.12</v>
      </c>
      <c r="H7" t="s">
        <v>69</v>
      </c>
      <c r="I7" s="19">
        <f>G7/C7</f>
        <v>5.4545454545454541E-3</v>
      </c>
      <c r="J7" t="s">
        <v>82</v>
      </c>
      <c r="L7" s="5"/>
      <c r="M7" s="15"/>
      <c r="N7" s="2"/>
    </row>
    <row r="8" spans="1:15" hidden="1" x14ac:dyDescent="0.2"/>
    <row r="9" spans="1:15" hidden="1" x14ac:dyDescent="0.2">
      <c r="A9" t="s">
        <v>83</v>
      </c>
      <c r="L9" t="s">
        <v>84</v>
      </c>
    </row>
    <row r="10" spans="1:15" ht="15.75" hidden="1" x14ac:dyDescent="0.3">
      <c r="A10">
        <v>20</v>
      </c>
      <c r="B10" t="s">
        <v>66</v>
      </c>
      <c r="C10">
        <v>22</v>
      </c>
      <c r="D10" t="s">
        <v>67</v>
      </c>
      <c r="E10">
        <v>1</v>
      </c>
      <c r="F10" t="s">
        <v>68</v>
      </c>
      <c r="G10" s="2">
        <v>0.12</v>
      </c>
      <c r="H10" t="s">
        <v>69</v>
      </c>
      <c r="I10" s="2">
        <f>G10/C10*1000</f>
        <v>5.4545454545454541</v>
      </c>
      <c r="J10" t="s">
        <v>85</v>
      </c>
      <c r="L10" s="8">
        <v>3412.1419999999998</v>
      </c>
      <c r="M10" t="s">
        <v>86</v>
      </c>
    </row>
    <row r="11" spans="1:15" ht="15.75" hidden="1" x14ac:dyDescent="0.3">
      <c r="A11">
        <v>20</v>
      </c>
      <c r="B11" t="s">
        <v>66</v>
      </c>
      <c r="C11">
        <v>1156.2</v>
      </c>
      <c r="D11" t="s">
        <v>72</v>
      </c>
      <c r="E11">
        <v>959.9</v>
      </c>
      <c r="F11" t="s">
        <v>72</v>
      </c>
      <c r="I11" s="20">
        <f>I10/E11/1000</f>
        <v>5.6824100995368837E-6</v>
      </c>
      <c r="J11" t="s">
        <v>87</v>
      </c>
      <c r="L11" s="19">
        <f>I11*L10</f>
        <v>1.9389190161853979E-2</v>
      </c>
      <c r="M11" t="s">
        <v>88</v>
      </c>
    </row>
    <row r="13" spans="1:15" ht="18" x14ac:dyDescent="0.35">
      <c r="A13" t="s">
        <v>89</v>
      </c>
      <c r="B13" t="s">
        <v>90</v>
      </c>
      <c r="C13" t="s">
        <v>91</v>
      </c>
      <c r="D13" t="s">
        <v>92</v>
      </c>
      <c r="E13" t="s">
        <v>93</v>
      </c>
      <c r="F13" t="s">
        <v>94</v>
      </c>
      <c r="G13" t="s">
        <v>95</v>
      </c>
    </row>
    <row r="14" spans="1:15" x14ac:dyDescent="0.2">
      <c r="A14" t="s">
        <v>96</v>
      </c>
      <c r="B14" s="21">
        <v>255</v>
      </c>
      <c r="C14" s="22">
        <f>B14+14.71</f>
        <v>269.70999999999998</v>
      </c>
      <c r="D14" s="22">
        <v>402.72</v>
      </c>
      <c r="E14">
        <v>823.8</v>
      </c>
      <c r="F14">
        <v>377.99</v>
      </c>
      <c r="G14">
        <v>1201.8</v>
      </c>
    </row>
    <row r="15" spans="1:15" x14ac:dyDescent="0.2">
      <c r="A15" t="s">
        <v>97</v>
      </c>
      <c r="B15" s="21">
        <v>135</v>
      </c>
      <c r="C15" s="22">
        <f>B15+14.71</f>
        <v>149.71</v>
      </c>
      <c r="D15" s="22">
        <v>355.6</v>
      </c>
      <c r="E15">
        <v>866.3</v>
      </c>
      <c r="F15">
        <v>327.63</v>
      </c>
      <c r="G15">
        <v>1193.9000000000001</v>
      </c>
    </row>
    <row r="16" spans="1:15" ht="14.25" x14ac:dyDescent="0.2">
      <c r="A16" t="s">
        <v>98</v>
      </c>
      <c r="B16" s="21">
        <v>15.661</v>
      </c>
      <c r="C16" s="22">
        <f>B16+14.71</f>
        <v>30.371000000000002</v>
      </c>
      <c r="D16">
        <v>251</v>
      </c>
      <c r="E16">
        <v>944.7</v>
      </c>
      <c r="F16">
        <v>219.65</v>
      </c>
      <c r="G16">
        <v>1164.4000000000001</v>
      </c>
    </row>
    <row r="17" spans="1:11" ht="14.25" x14ac:dyDescent="0.2">
      <c r="A17" t="s">
        <v>99</v>
      </c>
      <c r="B17" s="21">
        <v>7.28</v>
      </c>
      <c r="C17" s="22">
        <f>B17+14.71</f>
        <v>21.990000000000002</v>
      </c>
      <c r="D17">
        <v>233</v>
      </c>
      <c r="E17">
        <v>956.6</v>
      </c>
      <c r="F17">
        <v>201.41</v>
      </c>
      <c r="G17">
        <v>1158</v>
      </c>
    </row>
    <row r="18" spans="1:11" ht="14.25" x14ac:dyDescent="0.2">
      <c r="A18" t="s">
        <v>100</v>
      </c>
      <c r="B18" s="21">
        <v>0</v>
      </c>
      <c r="C18" s="22">
        <f>B18+14.71</f>
        <v>14.71</v>
      </c>
      <c r="D18">
        <v>212</v>
      </c>
      <c r="E18">
        <v>970.1</v>
      </c>
      <c r="F18">
        <v>180.21</v>
      </c>
      <c r="G18">
        <v>1150.3</v>
      </c>
    </row>
    <row r="20" spans="1:11" ht="15.75" x14ac:dyDescent="0.3">
      <c r="A20" t="s">
        <v>101</v>
      </c>
      <c r="J20" s="23">
        <v>2.9307106999999999E-4</v>
      </c>
      <c r="K20" t="s">
        <v>102</v>
      </c>
    </row>
    <row r="21" spans="1:11" ht="15.75" x14ac:dyDescent="0.3">
      <c r="A21">
        <v>255</v>
      </c>
      <c r="B21" t="s">
        <v>66</v>
      </c>
      <c r="C21">
        <v>1201.8</v>
      </c>
      <c r="D21" t="s">
        <v>72</v>
      </c>
      <c r="F21" s="24">
        <v>4.4999999999999997E-3</v>
      </c>
      <c r="G21" t="s">
        <v>82</v>
      </c>
      <c r="H21" s="25">
        <f>F21/C21</f>
        <v>3.7443834248627057E-6</v>
      </c>
      <c r="I21" t="s">
        <v>87</v>
      </c>
      <c r="J21" s="26">
        <f>H21/J20</f>
        <v>1.2776366581876218E-2</v>
      </c>
      <c r="K21" t="s">
        <v>88</v>
      </c>
    </row>
    <row r="22" spans="1:11" x14ac:dyDescent="0.2">
      <c r="F22" s="19"/>
      <c r="J22" s="17"/>
    </row>
    <row r="23" spans="1:11" ht="15.75" x14ac:dyDescent="0.3">
      <c r="A23" t="s">
        <v>103</v>
      </c>
      <c r="F23" s="27">
        <v>8.5000000000000006E-2</v>
      </c>
      <c r="G23" t="s">
        <v>104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D60"/>
  <sheetViews>
    <sheetView topLeftCell="A39" zoomScale="110" zoomScaleNormal="110" workbookViewId="0">
      <selection activeCell="C61" sqref="C61"/>
    </sheetView>
  </sheetViews>
  <sheetFormatPr defaultColWidth="11.5703125" defaultRowHeight="12.75" x14ac:dyDescent="0.2"/>
  <cols>
    <col min="1" max="1" width="29.85546875" customWidth="1"/>
    <col min="2" max="2" width="15" hidden="1" customWidth="1"/>
    <col min="3" max="3" width="17.42578125" customWidth="1"/>
    <col min="5" max="5" width="12.42578125" customWidth="1"/>
  </cols>
  <sheetData>
    <row r="1" spans="1:4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4" x14ac:dyDescent="0.2">
      <c r="A2" s="1" t="s">
        <v>108</v>
      </c>
      <c r="B2" s="1"/>
      <c r="C2" s="28">
        <f>SUM(C3,C8,C9,C14)</f>
        <v>2185910</v>
      </c>
    </row>
    <row r="3" spans="1:4" x14ac:dyDescent="0.2">
      <c r="A3" s="6" t="s">
        <v>109</v>
      </c>
      <c r="B3" s="29">
        <f>'5MGD 15 Effect VTE Capital Cost'!B33</f>
        <v>25369589.325787447</v>
      </c>
      <c r="C3" s="30">
        <v>1400000</v>
      </c>
      <c r="D3" t="s">
        <v>110</v>
      </c>
    </row>
    <row r="4" spans="1:4" x14ac:dyDescent="0.2">
      <c r="A4" t="s">
        <v>111</v>
      </c>
      <c r="C4">
        <v>30</v>
      </c>
      <c r="D4" t="s">
        <v>112</v>
      </c>
    </row>
    <row r="5" spans="1:4" x14ac:dyDescent="0.2">
      <c r="A5" t="s">
        <v>113</v>
      </c>
      <c r="C5" s="31">
        <v>0.06</v>
      </c>
      <c r="D5" t="s">
        <v>114</v>
      </c>
    </row>
    <row r="6" spans="1:4" x14ac:dyDescent="0.2">
      <c r="A6" t="s">
        <v>115</v>
      </c>
      <c r="C6" s="30">
        <f>C4*12*($C5/12*$C3)/(1-POWER($C5/12+1,-$C4*12))</f>
        <v>3021734.646769905</v>
      </c>
    </row>
    <row r="7" spans="1:4" x14ac:dyDescent="0.2">
      <c r="A7" s="1" t="s">
        <v>116</v>
      </c>
      <c r="B7" s="1"/>
      <c r="C7" s="12">
        <f>C6/C4</f>
        <v>100724.4882256635</v>
      </c>
    </row>
    <row r="8" spans="1:4" x14ac:dyDescent="0.2">
      <c r="A8" s="6" t="s">
        <v>117</v>
      </c>
      <c r="B8" s="1"/>
      <c r="C8" s="30">
        <v>2790</v>
      </c>
      <c r="D8" t="s">
        <v>118</v>
      </c>
    </row>
    <row r="9" spans="1:4" x14ac:dyDescent="0.2">
      <c r="A9" s="6" t="s">
        <v>119</v>
      </c>
      <c r="B9" s="1"/>
      <c r="C9" s="30">
        <f>80800+2320</f>
        <v>83120</v>
      </c>
      <c r="D9" t="s">
        <v>118</v>
      </c>
    </row>
    <row r="10" spans="1:4" x14ac:dyDescent="0.2">
      <c r="A10" t="s">
        <v>111</v>
      </c>
      <c r="B10" s="1"/>
      <c r="C10">
        <v>15</v>
      </c>
      <c r="D10" t="s">
        <v>112</v>
      </c>
    </row>
    <row r="11" spans="1:4" x14ac:dyDescent="0.2">
      <c r="A11" t="s">
        <v>113</v>
      </c>
      <c r="B11" s="1"/>
      <c r="C11" s="31">
        <v>0.06</v>
      </c>
      <c r="D11" t="s">
        <v>114</v>
      </c>
    </row>
    <row r="12" spans="1:4" x14ac:dyDescent="0.2">
      <c r="A12" t="s">
        <v>120</v>
      </c>
      <c r="B12" s="1"/>
      <c r="C12" s="30">
        <f>C10*12*($C11/12*($C8+$C9))/(1-POWER($C11/12+1,-$C10*12))</f>
        <v>130492.33217575886</v>
      </c>
    </row>
    <row r="13" spans="1:4" x14ac:dyDescent="0.2">
      <c r="A13" s="1" t="s">
        <v>116</v>
      </c>
      <c r="B13" s="1"/>
      <c r="C13" s="12">
        <f>C12/C10</f>
        <v>8699.4888117172577</v>
      </c>
    </row>
    <row r="14" spans="1:4" x14ac:dyDescent="0.2">
      <c r="A14" s="6" t="s">
        <v>121</v>
      </c>
      <c r="B14" s="1"/>
      <c r="C14" s="30">
        <f>700000</f>
        <v>700000</v>
      </c>
      <c r="D14" t="s">
        <v>110</v>
      </c>
    </row>
    <row r="15" spans="1:4" x14ac:dyDescent="0.2">
      <c r="A15" t="s">
        <v>111</v>
      </c>
      <c r="C15">
        <v>15</v>
      </c>
      <c r="D15" t="s">
        <v>112</v>
      </c>
    </row>
    <row r="16" spans="1:4" x14ac:dyDescent="0.2">
      <c r="A16" t="s">
        <v>113</v>
      </c>
      <c r="C16" s="31">
        <v>0.06</v>
      </c>
      <c r="D16" t="s">
        <v>114</v>
      </c>
    </row>
    <row r="17" spans="1:4" x14ac:dyDescent="0.2">
      <c r="A17" t="s">
        <v>115</v>
      </c>
      <c r="C17" s="30">
        <f>C15*12*($C16/12*$C$14)/(1-POWER($C$16/12+1,-$C$15*12))</f>
        <v>1063259.6033410686</v>
      </c>
    </row>
    <row r="18" spans="1:4" x14ac:dyDescent="0.2">
      <c r="A18" s="1" t="s">
        <v>116</v>
      </c>
      <c r="B18" s="1"/>
      <c r="C18" s="12">
        <f>C17/C15</f>
        <v>70883.973556071243</v>
      </c>
    </row>
    <row r="19" spans="1:4" x14ac:dyDescent="0.2">
      <c r="A19" t="s">
        <v>122</v>
      </c>
      <c r="C19" s="32">
        <v>250</v>
      </c>
      <c r="D19" t="s">
        <v>123</v>
      </c>
    </row>
    <row r="20" spans="1:4" x14ac:dyDescent="0.2">
      <c r="A20" t="s">
        <v>124</v>
      </c>
      <c r="B20" s="5">
        <v>310000</v>
      </c>
      <c r="C20" s="32"/>
    </row>
    <row r="21" spans="1:4" x14ac:dyDescent="0.2">
      <c r="A21" s="6" t="s">
        <v>125</v>
      </c>
      <c r="B21" s="32">
        <f>'5MGD 15 Effect Levellized VTE'!B8+'5MGD 15 Effect Levellized VTE'!B10</f>
        <v>5830564.7840531562</v>
      </c>
      <c r="C21" s="28"/>
    </row>
    <row r="22" spans="1:4" x14ac:dyDescent="0.2">
      <c r="A22" t="s">
        <v>126</v>
      </c>
      <c r="C22" s="33">
        <v>0.15</v>
      </c>
      <c r="D22" t="s">
        <v>509</v>
      </c>
    </row>
    <row r="23" spans="1:4" x14ac:dyDescent="0.2">
      <c r="A23" t="s">
        <v>127</v>
      </c>
      <c r="B23">
        <v>264.17200000000003</v>
      </c>
      <c r="C23" s="32">
        <f>B23*C19*(1-C22)/C22</f>
        <v>374243.66666666663</v>
      </c>
      <c r="D23" t="s">
        <v>128</v>
      </c>
    </row>
    <row r="24" spans="1:4" x14ac:dyDescent="0.2">
      <c r="A24" t="s">
        <v>129</v>
      </c>
      <c r="C24" s="33">
        <v>0.75</v>
      </c>
    </row>
    <row r="25" spans="1:4" x14ac:dyDescent="0.2">
      <c r="A25" t="s">
        <v>130</v>
      </c>
      <c r="C25" s="4">
        <v>0.95</v>
      </c>
    </row>
    <row r="26" spans="1:4" x14ac:dyDescent="0.2">
      <c r="A26" s="6" t="s">
        <v>131</v>
      </c>
      <c r="B26" s="6"/>
      <c r="C26" s="2">
        <f>C14/C19</f>
        <v>2800</v>
      </c>
      <c r="D26" t="s">
        <v>132</v>
      </c>
    </row>
    <row r="27" spans="1:4" x14ac:dyDescent="0.2">
      <c r="A27" s="6"/>
      <c r="B27" s="6"/>
      <c r="C27" s="2"/>
    </row>
    <row r="28" spans="1:4" x14ac:dyDescent="0.2">
      <c r="A28" s="1" t="s">
        <v>133</v>
      </c>
      <c r="B28" s="1"/>
      <c r="C28" s="2"/>
    </row>
    <row r="29" spans="1:4" x14ac:dyDescent="0.2">
      <c r="A29" t="s">
        <v>134</v>
      </c>
      <c r="B29" s="34">
        <v>7.9000000000000008E-3</v>
      </c>
      <c r="C29" s="35">
        <f>0.12*C3</f>
        <v>168000</v>
      </c>
      <c r="D29" t="s">
        <v>114</v>
      </c>
    </row>
    <row r="30" spans="1:4" x14ac:dyDescent="0.2">
      <c r="A30" t="s">
        <v>135</v>
      </c>
      <c r="B30" s="34">
        <v>2.2800000000000001E-2</v>
      </c>
      <c r="C30" s="35">
        <f>0.12*(C8+C9)</f>
        <v>10309.199999999999</v>
      </c>
      <c r="D30" t="s">
        <v>114</v>
      </c>
    </row>
    <row r="31" spans="1:4" x14ac:dyDescent="0.2">
      <c r="A31" t="s">
        <v>136</v>
      </c>
      <c r="B31" s="34">
        <v>4.7500000000000001E-2</v>
      </c>
      <c r="C31" s="35">
        <f>0.12*C14</f>
        <v>84000</v>
      </c>
      <c r="D31" t="s">
        <v>114</v>
      </c>
    </row>
    <row r="32" spans="1:4" x14ac:dyDescent="0.2">
      <c r="A32" s="1" t="s">
        <v>137</v>
      </c>
      <c r="B32" s="36">
        <f>SUM(B29:B31)</f>
        <v>7.8200000000000006E-2</v>
      </c>
      <c r="C32" s="35">
        <f>SUM(C29:C31)</f>
        <v>262309.2</v>
      </c>
      <c r="D32" t="s">
        <v>114</v>
      </c>
    </row>
    <row r="33" spans="1:4" x14ac:dyDescent="0.2">
      <c r="A33" t="s">
        <v>138</v>
      </c>
      <c r="C33" s="35">
        <f>35*50000</f>
        <v>1750000</v>
      </c>
      <c r="D33" t="s">
        <v>114</v>
      </c>
    </row>
    <row r="34" spans="1:4" x14ac:dyDescent="0.2">
      <c r="A34" t="s">
        <v>139</v>
      </c>
      <c r="C34" s="35">
        <f>10*C19*C25*365</f>
        <v>866875</v>
      </c>
      <c r="D34" t="s">
        <v>114</v>
      </c>
    </row>
    <row r="35" spans="1:4" x14ac:dyDescent="0.2">
      <c r="A35" s="1" t="s">
        <v>140</v>
      </c>
      <c r="B35" s="1"/>
      <c r="C35" s="12">
        <f>SUM(C$41,C$46,C$32:C$34)</f>
        <v>3604613.0585757503</v>
      </c>
    </row>
    <row r="36" spans="1:4" x14ac:dyDescent="0.2">
      <c r="A36" s="1"/>
      <c r="B36" s="1"/>
      <c r="C36" s="12"/>
    </row>
    <row r="37" spans="1:4" x14ac:dyDescent="0.2">
      <c r="A37" s="1" t="s">
        <v>141</v>
      </c>
      <c r="B37" s="1"/>
      <c r="C37" s="12"/>
    </row>
    <row r="38" spans="1:4" ht="15.75" x14ac:dyDescent="0.3">
      <c r="A38" t="s">
        <v>142</v>
      </c>
      <c r="B38" s="32">
        <f>'Energy Cost Rates'!L4/15</f>
        <v>2250.5511200882029</v>
      </c>
      <c r="C38" s="15">
        <f>B38*24</f>
        <v>54013.226882116869</v>
      </c>
      <c r="D38" s="6" t="s">
        <v>143</v>
      </c>
    </row>
    <row r="39" spans="1:4" ht="15.75" x14ac:dyDescent="0.3">
      <c r="A39" t="s">
        <v>144</v>
      </c>
      <c r="B39" s="32">
        <f>'Energy Cost Rates'!I6</f>
        <v>1250000</v>
      </c>
      <c r="C39" s="15">
        <f>B39*0.001163*24</f>
        <v>34890</v>
      </c>
      <c r="D39" t="s">
        <v>143</v>
      </c>
    </row>
    <row r="40" spans="1:4" ht="15.75" x14ac:dyDescent="0.3">
      <c r="A40" t="s">
        <v>145</v>
      </c>
      <c r="B40" s="1"/>
      <c r="C40" s="37">
        <f>'Energy Cost Rates'!J21</f>
        <v>1.2776366581876218E-2</v>
      </c>
      <c r="D40" t="s">
        <v>88</v>
      </c>
    </row>
    <row r="41" spans="1:4" x14ac:dyDescent="0.2">
      <c r="A41" t="s">
        <v>146</v>
      </c>
      <c r="B41" s="1"/>
      <c r="C41" s="35">
        <f>(C38+C39)*C40*365*C25</f>
        <v>393859.5302300608</v>
      </c>
      <c r="D41" t="s">
        <v>114</v>
      </c>
    </row>
    <row r="42" spans="1:4" ht="15.75" x14ac:dyDescent="0.3">
      <c r="A42" t="s">
        <v>147</v>
      </c>
      <c r="B42" s="32">
        <f>'5MGD 15 Effect Levellized VTE'!B15/10</f>
        <v>1529.64852947756</v>
      </c>
      <c r="C42" s="15">
        <f>B42</f>
        <v>1529.64852947756</v>
      </c>
      <c r="D42" t="s">
        <v>148</v>
      </c>
    </row>
    <row r="43" spans="1:4" ht="15.75" x14ac:dyDescent="0.3">
      <c r="A43" t="s">
        <v>149</v>
      </c>
      <c r="B43" s="6">
        <v>85</v>
      </c>
      <c r="C43" s="15">
        <f>B43*24</f>
        <v>2040</v>
      </c>
      <c r="D43" t="s">
        <v>148</v>
      </c>
    </row>
    <row r="44" spans="1:4" ht="15.75" x14ac:dyDescent="0.3">
      <c r="A44" t="s">
        <v>150</v>
      </c>
      <c r="B44" s="6">
        <v>320</v>
      </c>
      <c r="C44" s="15">
        <f>B44*24</f>
        <v>7680</v>
      </c>
      <c r="D44" t="s">
        <v>148</v>
      </c>
    </row>
    <row r="45" spans="1:4" ht="15.75" x14ac:dyDescent="0.3">
      <c r="A45" t="s">
        <v>151</v>
      </c>
      <c r="C45" s="38">
        <f>'Energy Cost Rates'!F23</f>
        <v>8.5000000000000006E-2</v>
      </c>
      <c r="D45" t="s">
        <v>152</v>
      </c>
    </row>
    <row r="46" spans="1:4" x14ac:dyDescent="0.2">
      <c r="A46" t="s">
        <v>153</v>
      </c>
      <c r="C46" s="35">
        <f>(C42+C43+C44)*C45*365*C25</f>
        <v>331569.32834568922</v>
      </c>
      <c r="D46" t="s">
        <v>114</v>
      </c>
    </row>
    <row r="47" spans="1:4" x14ac:dyDescent="0.2">
      <c r="A47" s="1" t="s">
        <v>154</v>
      </c>
      <c r="C47" s="12">
        <f>SUM(C41,C46)</f>
        <v>725428.85857575003</v>
      </c>
    </row>
    <row r="48" spans="1:4" x14ac:dyDescent="0.2">
      <c r="A48" s="1"/>
      <c r="B48" s="1"/>
      <c r="C48" s="12"/>
    </row>
    <row r="49" spans="1:4" x14ac:dyDescent="0.2">
      <c r="A49" s="1" t="s">
        <v>155</v>
      </c>
      <c r="B49" s="1"/>
      <c r="C49" s="12">
        <f>SUM(C$7,C$13,C$18,C$35,C$47)</f>
        <v>4510349.8677449524</v>
      </c>
    </row>
    <row r="50" spans="1:4" x14ac:dyDescent="0.2">
      <c r="A50" s="1" t="s">
        <v>156</v>
      </c>
      <c r="B50" s="1"/>
      <c r="C50" s="12">
        <f>C49/(C19*365*C25)</f>
        <v>52.029991264541628</v>
      </c>
      <c r="D50" t="s">
        <v>157</v>
      </c>
    </row>
    <row r="51" spans="1:4" x14ac:dyDescent="0.2">
      <c r="A51" s="1" t="s">
        <v>510</v>
      </c>
      <c r="B51" s="1"/>
      <c r="C51" s="12">
        <v>182</v>
      </c>
      <c r="D51" t="s">
        <v>157</v>
      </c>
    </row>
    <row r="52" spans="1:4" x14ac:dyDescent="0.2">
      <c r="A52" t="s">
        <v>158</v>
      </c>
      <c r="C52" s="10">
        <f>C51-C50</f>
        <v>129.97000873545838</v>
      </c>
      <c r="D52" t="s">
        <v>157</v>
      </c>
    </row>
    <row r="53" spans="1:4" x14ac:dyDescent="0.2">
      <c r="A53" t="s">
        <v>159</v>
      </c>
      <c r="C53" s="5">
        <f>C19*C25*365</f>
        <v>86687.5</v>
      </c>
      <c r="D53" t="s">
        <v>160</v>
      </c>
    </row>
    <row r="54" spans="1:4" x14ac:dyDescent="0.2">
      <c r="A54" t="s">
        <v>161</v>
      </c>
      <c r="C54" s="10">
        <f>C52*C19*C25*365</f>
        <v>11266775.132255048</v>
      </c>
    </row>
    <row r="55" spans="1:4" x14ac:dyDescent="0.2">
      <c r="C55" s="10"/>
    </row>
    <row r="56" spans="1:4" x14ac:dyDescent="0.2">
      <c r="A56" t="s">
        <v>162</v>
      </c>
      <c r="C56" s="5">
        <v>15747</v>
      </c>
      <c r="D56" t="s">
        <v>123</v>
      </c>
    </row>
    <row r="57" spans="1:4" x14ac:dyDescent="0.2">
      <c r="A57" t="s">
        <v>63</v>
      </c>
      <c r="C57" s="5">
        <f>C56/C19</f>
        <v>62.988</v>
      </c>
    </row>
    <row r="59" spans="1:4" ht="15.75" x14ac:dyDescent="0.3">
      <c r="A59" t="s">
        <v>163</v>
      </c>
      <c r="C59" s="8">
        <f>SUM(C42:C44)/C19</f>
        <v>44.998594117910237</v>
      </c>
      <c r="D59" t="s">
        <v>164</v>
      </c>
    </row>
    <row r="60" spans="1:4" ht="15.75" x14ac:dyDescent="0.3">
      <c r="A60" t="s">
        <v>165</v>
      </c>
      <c r="C60" s="8">
        <f>SUM(C38:C39)/C19</f>
        <v>355.61290752846747</v>
      </c>
      <c r="D60" s="6" t="s">
        <v>166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7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47"/>
  <sheetViews>
    <sheetView topLeftCell="A3" zoomScale="110" zoomScaleNormal="110" workbookViewId="0">
      <selection activeCell="C3" sqref="C3"/>
    </sheetView>
  </sheetViews>
  <sheetFormatPr defaultColWidth="11.5703125" defaultRowHeight="12.75" x14ac:dyDescent="0.2"/>
  <cols>
    <col min="1" max="1" width="23.140625" customWidth="1"/>
    <col min="2" max="2" width="11.5703125" customWidth="1"/>
    <col min="3" max="3" width="13.140625" customWidth="1"/>
    <col min="5" max="5" width="12.42578125" customWidth="1"/>
    <col min="6" max="6" width="16.42578125" customWidth="1"/>
    <col min="8" max="8" width="12.42578125" customWidth="1"/>
    <col min="9" max="9" width="13.42578125" customWidth="1"/>
  </cols>
  <sheetData>
    <row r="1" spans="1:10" hidden="1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10" hidden="1" x14ac:dyDescent="0.2">
      <c r="A2" s="1"/>
      <c r="B2" s="1"/>
      <c r="C2" s="1"/>
    </row>
    <row r="3" spans="1:10" ht="38.25" x14ac:dyDescent="0.2">
      <c r="A3" s="1" t="s">
        <v>167</v>
      </c>
      <c r="B3" s="1"/>
      <c r="C3" s="39" t="s">
        <v>168</v>
      </c>
      <c r="E3" s="39" t="s">
        <v>599</v>
      </c>
      <c r="F3" s="39" t="s">
        <v>600</v>
      </c>
      <c r="H3" s="39" t="s">
        <v>467</v>
      </c>
      <c r="I3" s="39" t="s">
        <v>468</v>
      </c>
    </row>
    <row r="4" spans="1:10" x14ac:dyDescent="0.2">
      <c r="A4" s="1" t="s">
        <v>169</v>
      </c>
      <c r="B4" s="1"/>
      <c r="C4" s="30">
        <v>16500000</v>
      </c>
      <c r="D4" t="s">
        <v>170</v>
      </c>
      <c r="E4" s="8">
        <v>4</v>
      </c>
      <c r="F4" s="30">
        <f>C4*E4</f>
        <v>66000000</v>
      </c>
      <c r="G4" t="s">
        <v>170</v>
      </c>
      <c r="H4" s="8">
        <f>(1)*1000000/$C$9</f>
        <v>0.15832484712152761</v>
      </c>
      <c r="I4" s="30">
        <f>C4*H4</f>
        <v>2612359.9775052057</v>
      </c>
      <c r="J4" t="s">
        <v>170</v>
      </c>
    </row>
    <row r="5" spans="1:10" x14ac:dyDescent="0.2">
      <c r="A5" t="s">
        <v>111</v>
      </c>
      <c r="C5">
        <v>30</v>
      </c>
      <c r="D5" t="s">
        <v>112</v>
      </c>
      <c r="F5">
        <v>30</v>
      </c>
      <c r="G5" t="s">
        <v>112</v>
      </c>
      <c r="I5">
        <v>30</v>
      </c>
      <c r="J5" t="s">
        <v>112</v>
      </c>
    </row>
    <row r="6" spans="1:10" x14ac:dyDescent="0.2">
      <c r="A6" t="s">
        <v>113</v>
      </c>
      <c r="C6" s="31">
        <v>0.06</v>
      </c>
      <c r="D6" t="s">
        <v>114</v>
      </c>
      <c r="F6" s="31">
        <v>0.06</v>
      </c>
      <c r="G6" t="s">
        <v>114</v>
      </c>
      <c r="I6" s="31">
        <v>0.06</v>
      </c>
      <c r="J6" t="s">
        <v>114</v>
      </c>
    </row>
    <row r="7" spans="1:10" x14ac:dyDescent="0.2">
      <c r="A7" t="s">
        <v>115</v>
      </c>
      <c r="C7" s="30">
        <f>C5*12*($C6/12*$C$4)/(1-POWER($C$6/12+1,-$C$5*12))</f>
        <v>35613301.194073878</v>
      </c>
      <c r="E7" s="8"/>
      <c r="F7" s="30">
        <f>F5*12*(F6/12*$F$4)/(1-POWER(F$6/12+1,-F$5*12))</f>
        <v>142453204.77629551</v>
      </c>
      <c r="H7" s="8"/>
      <c r="I7" s="30">
        <f>I5*12*(I6/12*$I$4)/(1-POWER(I$6/12+1,-I$5*12))</f>
        <v>5638470.4670446645</v>
      </c>
    </row>
    <row r="8" spans="1:10" x14ac:dyDescent="0.2">
      <c r="A8" s="1" t="s">
        <v>116</v>
      </c>
      <c r="B8" s="1"/>
      <c r="C8" s="12">
        <f>C7/C5</f>
        <v>1187110.0398024626</v>
      </c>
      <c r="F8" s="12">
        <f>F7/F5</f>
        <v>4748440.1592098502</v>
      </c>
      <c r="I8" s="12">
        <f>I7/I5</f>
        <v>187949.01556815548</v>
      </c>
    </row>
    <row r="9" spans="1:10" x14ac:dyDescent="0.2">
      <c r="A9" t="s">
        <v>171</v>
      </c>
      <c r="C9" s="32">
        <v>6316128</v>
      </c>
      <c r="D9" t="s">
        <v>128</v>
      </c>
      <c r="E9" s="8">
        <v>4</v>
      </c>
      <c r="F9" s="32">
        <f>C9*E9</f>
        <v>25264512</v>
      </c>
      <c r="G9" t="s">
        <v>128</v>
      </c>
      <c r="H9" s="8">
        <f>(1)*1000000/$C$9</f>
        <v>0.15832484712152761</v>
      </c>
      <c r="I9" s="32">
        <f>C9*H9</f>
        <v>1000000</v>
      </c>
      <c r="J9" t="s">
        <v>128</v>
      </c>
    </row>
    <row r="10" spans="1:10" x14ac:dyDescent="0.2">
      <c r="A10" t="s">
        <v>172</v>
      </c>
      <c r="C10" s="32">
        <f>C9/C12</f>
        <v>8421504</v>
      </c>
      <c r="D10" t="s">
        <v>128</v>
      </c>
      <c r="F10" s="32">
        <f>F9/F12</f>
        <v>33686016</v>
      </c>
      <c r="G10" t="s">
        <v>128</v>
      </c>
      <c r="I10" s="32">
        <f>I9/I12</f>
        <v>1333333.3333333333</v>
      </c>
      <c r="J10" t="s">
        <v>128</v>
      </c>
    </row>
    <row r="11" spans="1:10" x14ac:dyDescent="0.2">
      <c r="A11" t="s">
        <v>480</v>
      </c>
      <c r="C11" s="32">
        <f xml:space="preserve"> C10-C9</f>
        <v>2105376</v>
      </c>
      <c r="D11" t="s">
        <v>128</v>
      </c>
      <c r="F11" s="32">
        <f xml:space="preserve"> F10-F9</f>
        <v>8421504</v>
      </c>
      <c r="G11" t="s">
        <v>128</v>
      </c>
      <c r="I11" s="32">
        <f xml:space="preserve"> I10-I9</f>
        <v>333333.33333333326</v>
      </c>
      <c r="J11" t="s">
        <v>128</v>
      </c>
    </row>
    <row r="12" spans="1:10" x14ac:dyDescent="0.2">
      <c r="A12" t="s">
        <v>173</v>
      </c>
      <c r="C12" s="33">
        <v>0.75</v>
      </c>
      <c r="F12" s="33">
        <v>0.75</v>
      </c>
      <c r="I12" s="33">
        <v>0.75</v>
      </c>
    </row>
    <row r="13" spans="1:10" x14ac:dyDescent="0.2">
      <c r="A13" t="s">
        <v>130</v>
      </c>
      <c r="C13" s="4">
        <v>0.95</v>
      </c>
      <c r="F13" s="4">
        <v>0.95</v>
      </c>
      <c r="I13" s="4">
        <v>0.95</v>
      </c>
    </row>
    <row r="14" spans="1:10" x14ac:dyDescent="0.2">
      <c r="A14" s="6" t="s">
        <v>131</v>
      </c>
      <c r="B14" s="6"/>
      <c r="C14" s="2">
        <f>C4/C9</f>
        <v>2.6123599775052058</v>
      </c>
      <c r="D14" t="s">
        <v>174</v>
      </c>
      <c r="F14" s="2">
        <f>F4/F9</f>
        <v>2.6123599775052058</v>
      </c>
      <c r="G14" t="s">
        <v>174</v>
      </c>
      <c r="I14" s="2">
        <f>I4/I9</f>
        <v>2.6123599775052058</v>
      </c>
      <c r="J14" t="s">
        <v>174</v>
      </c>
    </row>
    <row r="16" spans="1:10" x14ac:dyDescent="0.2">
      <c r="A16" s="1" t="s">
        <v>133</v>
      </c>
    </row>
    <row r="17" spans="1:10" hidden="1" x14ac:dyDescent="0.2">
      <c r="A17" t="s">
        <v>175</v>
      </c>
      <c r="B17" s="34">
        <v>7.9000000000000008E-3</v>
      </c>
      <c r="C17" s="35">
        <f>$B17*1000*24*365*C$13</f>
        <v>65743.800000000017</v>
      </c>
      <c r="D17" t="s">
        <v>114</v>
      </c>
      <c r="E17" s="8">
        <f t="shared" ref="E17:E21" si="0">(8.76+45.331)*1000000/$C$9</f>
        <v>8.5639493056505511</v>
      </c>
      <c r="F17" s="40">
        <f t="shared" ref="F17:F24" si="1">C17*E17</f>
        <v>563026.57036082889</v>
      </c>
      <c r="G17" t="s">
        <v>114</v>
      </c>
      <c r="H17" s="8">
        <f t="shared" ref="H17:H21" si="2">(8.76+45.331)*1000000/$C$9</f>
        <v>8.5639493056505511</v>
      </c>
      <c r="I17" s="40">
        <f t="shared" ref="I17:I21" si="3">F17*H17</f>
        <v>4821731.0063044317</v>
      </c>
      <c r="J17" t="s">
        <v>114</v>
      </c>
    </row>
    <row r="18" spans="1:10" hidden="1" x14ac:dyDescent="0.2">
      <c r="A18" t="s">
        <v>176</v>
      </c>
      <c r="B18" s="34">
        <v>2.2800000000000001E-2</v>
      </c>
      <c r="C18" s="35">
        <f>$B18*1000*24*365*C$13</f>
        <v>189741.6</v>
      </c>
      <c r="D18" t="s">
        <v>114</v>
      </c>
      <c r="E18" s="8">
        <f t="shared" si="0"/>
        <v>8.5639493056505511</v>
      </c>
      <c r="F18" s="40">
        <f t="shared" si="1"/>
        <v>1624937.4435730246</v>
      </c>
      <c r="G18" t="s">
        <v>114</v>
      </c>
      <c r="H18" s="8">
        <f t="shared" si="2"/>
        <v>8.5639493056505511</v>
      </c>
      <c r="I18" s="40">
        <f t="shared" si="3"/>
        <v>13915881.891612785</v>
      </c>
      <c r="J18" t="s">
        <v>114</v>
      </c>
    </row>
    <row r="19" spans="1:10" hidden="1" x14ac:dyDescent="0.2">
      <c r="A19" t="s">
        <v>177</v>
      </c>
      <c r="B19" s="34">
        <v>4.7500000000000001E-2</v>
      </c>
      <c r="C19" s="35">
        <f>$B19*1000*24*365*C$13</f>
        <v>395295</v>
      </c>
      <c r="D19" t="s">
        <v>114</v>
      </c>
      <c r="E19" s="8">
        <f t="shared" si="0"/>
        <v>8.5639493056505511</v>
      </c>
      <c r="F19" s="40">
        <f t="shared" si="1"/>
        <v>3385286.3407771345</v>
      </c>
      <c r="G19" t="s">
        <v>114</v>
      </c>
      <c r="H19" s="8">
        <f t="shared" si="2"/>
        <v>8.5639493056505511</v>
      </c>
      <c r="I19" s="40">
        <f t="shared" si="3"/>
        <v>28991420.607526638</v>
      </c>
      <c r="J19" t="s">
        <v>114</v>
      </c>
    </row>
    <row r="20" spans="1:10" hidden="1" x14ac:dyDescent="0.2">
      <c r="A20" t="s">
        <v>178</v>
      </c>
      <c r="B20" s="34">
        <v>5.0000000000000001E-4</v>
      </c>
      <c r="C20" s="35">
        <f>$B20*1000*24*365*C$13</f>
        <v>4161</v>
      </c>
      <c r="D20" t="s">
        <v>114</v>
      </c>
      <c r="E20" s="8">
        <f t="shared" si="0"/>
        <v>8.5639493056505511</v>
      </c>
      <c r="F20" s="40">
        <f t="shared" si="1"/>
        <v>35634.593060811945</v>
      </c>
      <c r="G20" t="s">
        <v>114</v>
      </c>
      <c r="H20" s="8">
        <f t="shared" si="2"/>
        <v>8.5639493056505511</v>
      </c>
      <c r="I20" s="40">
        <f t="shared" si="3"/>
        <v>305172.84850028041</v>
      </c>
      <c r="J20" t="s">
        <v>114</v>
      </c>
    </row>
    <row r="21" spans="1:10" hidden="1" x14ac:dyDescent="0.2">
      <c r="A21" t="s">
        <v>179</v>
      </c>
      <c r="B21" s="34">
        <v>4.0000000000000002E-4</v>
      </c>
      <c r="C21" s="35">
        <f>$B21*1000*24*365*C$13</f>
        <v>3328.8</v>
      </c>
      <c r="D21" t="s">
        <v>114</v>
      </c>
      <c r="E21" s="8">
        <f t="shared" si="0"/>
        <v>8.5639493056505511</v>
      </c>
      <c r="F21" s="40">
        <f t="shared" si="1"/>
        <v>28507.674448649555</v>
      </c>
      <c r="G21" t="s">
        <v>114</v>
      </c>
      <c r="H21" s="8">
        <f t="shared" si="2"/>
        <v>8.5639493056505511</v>
      </c>
      <c r="I21" s="40">
        <f t="shared" si="3"/>
        <v>244138.27880022433</v>
      </c>
      <c r="J21" t="s">
        <v>114</v>
      </c>
    </row>
    <row r="22" spans="1:10" x14ac:dyDescent="0.2">
      <c r="A22" s="1" t="s">
        <v>137</v>
      </c>
      <c r="B22" s="36">
        <f>SUM(B17:B21)</f>
        <v>7.9100000000000004E-2</v>
      </c>
      <c r="C22" s="35">
        <f>SUM(C17:C21)</f>
        <v>658270.20000000007</v>
      </c>
      <c r="D22" t="s">
        <v>114</v>
      </c>
      <c r="E22" s="8">
        <v>4</v>
      </c>
      <c r="F22" s="40">
        <f t="shared" si="1"/>
        <v>2633080.8000000003</v>
      </c>
      <c r="G22" t="s">
        <v>114</v>
      </c>
      <c r="H22" s="8">
        <f>(1)*1000000/$C$9</f>
        <v>0.15832484712152761</v>
      </c>
      <c r="I22" s="40">
        <f>C22*H22</f>
        <v>104220.52877965741</v>
      </c>
      <c r="J22" t="s">
        <v>114</v>
      </c>
    </row>
    <row r="23" spans="1:10" x14ac:dyDescent="0.2">
      <c r="A23" t="s">
        <v>138</v>
      </c>
      <c r="C23" s="35">
        <v>412000</v>
      </c>
      <c r="D23" t="s">
        <v>114</v>
      </c>
      <c r="E23" s="8">
        <v>4</v>
      </c>
      <c r="F23" s="40">
        <f t="shared" si="1"/>
        <v>1648000</v>
      </c>
      <c r="G23" t="s">
        <v>114</v>
      </c>
      <c r="H23" s="8">
        <f>(1)*1000000/$C$9</f>
        <v>0.15832484712152761</v>
      </c>
      <c r="I23" s="40">
        <f>C23*H23</f>
        <v>65229.837014069373</v>
      </c>
      <c r="J23" t="s">
        <v>114</v>
      </c>
    </row>
    <row r="24" spans="1:10" x14ac:dyDescent="0.2">
      <c r="A24" t="s">
        <v>180</v>
      </c>
      <c r="C24" s="35">
        <f>0.02/1000*$C$9*365</f>
        <v>46107.734400000001</v>
      </c>
      <c r="D24" t="s">
        <v>114</v>
      </c>
      <c r="E24" s="8">
        <v>4</v>
      </c>
      <c r="F24" s="40">
        <f t="shared" si="1"/>
        <v>184430.9376</v>
      </c>
      <c r="G24" t="s">
        <v>114</v>
      </c>
      <c r="H24" s="8">
        <f>(1)*1000000/$C$9</f>
        <v>0.15832484712152761</v>
      </c>
      <c r="I24" s="40">
        <f>C24*H24</f>
        <v>7300</v>
      </c>
      <c r="J24" t="s">
        <v>114</v>
      </c>
    </row>
    <row r="25" spans="1:10" x14ac:dyDescent="0.2">
      <c r="A25" s="1" t="s">
        <v>140</v>
      </c>
      <c r="B25" s="1"/>
      <c r="C25" s="12">
        <f>SUM(C$30,C$22:C$24)</f>
        <v>1894484.9344000001</v>
      </c>
      <c r="F25" s="12">
        <f>SUM(F$30,F$22:F$24)</f>
        <v>7577939.7376000006</v>
      </c>
      <c r="I25" s="12">
        <f>SUM(I$30,I$22:I$24)</f>
        <v>299944.03761291725</v>
      </c>
    </row>
    <row r="26" spans="1:10" x14ac:dyDescent="0.2">
      <c r="A26" s="1"/>
      <c r="B26" s="1"/>
      <c r="C26" s="12"/>
      <c r="F26" s="12"/>
      <c r="I26" s="12"/>
    </row>
    <row r="27" spans="1:10" x14ac:dyDescent="0.2">
      <c r="A27" s="1" t="s">
        <v>141</v>
      </c>
      <c r="B27" s="1"/>
      <c r="C27" s="12"/>
      <c r="F27" s="12"/>
      <c r="I27" s="12"/>
    </row>
    <row r="28" spans="1:10" x14ac:dyDescent="0.2">
      <c r="A28" t="s">
        <v>181</v>
      </c>
      <c r="B28">
        <v>1.1000000000000001</v>
      </c>
      <c r="C28" s="32">
        <f>B28*1000*24</f>
        <v>26400</v>
      </c>
      <c r="D28" t="s">
        <v>182</v>
      </c>
      <c r="E28" s="8">
        <v>4</v>
      </c>
      <c r="F28" s="32">
        <f>C28*E28</f>
        <v>105600</v>
      </c>
      <c r="G28" t="s">
        <v>182</v>
      </c>
      <c r="H28" s="8">
        <f>(1)*1000000/$C$9</f>
        <v>0.15832484712152761</v>
      </c>
      <c r="I28" s="32">
        <f>C28*H28</f>
        <v>4179.7759640083286</v>
      </c>
      <c r="J28" t="s">
        <v>182</v>
      </c>
    </row>
    <row r="29" spans="1:10" x14ac:dyDescent="0.2">
      <c r="A29" t="s">
        <v>151</v>
      </c>
      <c r="C29" s="38">
        <f>'Energy Cost Rates'!F23</f>
        <v>8.5000000000000006E-2</v>
      </c>
      <c r="D29" t="s">
        <v>183</v>
      </c>
      <c r="F29" s="38">
        <f>'Energy Cost Rates'!F23</f>
        <v>8.5000000000000006E-2</v>
      </c>
      <c r="G29" t="s">
        <v>183</v>
      </c>
      <c r="I29" s="38">
        <f>'Energy Cost Rates'!F23</f>
        <v>8.5000000000000006E-2</v>
      </c>
      <c r="J29" t="s">
        <v>183</v>
      </c>
    </row>
    <row r="30" spans="1:10" x14ac:dyDescent="0.2">
      <c r="A30" s="1" t="s">
        <v>153</v>
      </c>
      <c r="C30" s="35">
        <f>C28*C29*365*C13</f>
        <v>778107</v>
      </c>
      <c r="D30" t="s">
        <v>114</v>
      </c>
      <c r="F30" s="35">
        <f>F28*F29*365*F13</f>
        <v>3112428</v>
      </c>
      <c r="G30" t="s">
        <v>114</v>
      </c>
      <c r="I30" s="35">
        <f>I28*I29*365*I13</f>
        <v>123193.67181919048</v>
      </c>
      <c r="J30" t="s">
        <v>114</v>
      </c>
    </row>
    <row r="31" spans="1:10" x14ac:dyDescent="0.2">
      <c r="C31" s="35"/>
      <c r="F31" s="35"/>
      <c r="I31" s="35"/>
    </row>
    <row r="32" spans="1:10" x14ac:dyDescent="0.2">
      <c r="A32" s="1" t="s">
        <v>155</v>
      </c>
      <c r="B32" s="1"/>
      <c r="C32" s="12">
        <f>SUM(C$8,C$30,C$22:C$24)</f>
        <v>3081594.9742024625</v>
      </c>
      <c r="F32" s="12">
        <f>SUM(F$8,F$30,F$22:F$24)</f>
        <v>12326379.89680985</v>
      </c>
      <c r="I32" s="12">
        <f>SUM(I$8,I$30,I$22:I$24)</f>
        <v>487893.05318107276</v>
      </c>
    </row>
    <row r="34" spans="1:10" x14ac:dyDescent="0.2">
      <c r="A34" s="1" t="s">
        <v>184</v>
      </c>
      <c r="B34" s="1"/>
      <c r="C34" s="12">
        <f>C32/(C9*365*C13/1000)</f>
        <v>1.4070455751436848</v>
      </c>
      <c r="D34" t="s">
        <v>185</v>
      </c>
      <c r="F34" s="12">
        <f>F32/(F9*365*F13/1000)</f>
        <v>1.4070455751436848</v>
      </c>
      <c r="G34" t="s">
        <v>185</v>
      </c>
      <c r="I34" s="12">
        <f>I32/(I9*365*I13/1000)</f>
        <v>1.407045575143685</v>
      </c>
      <c r="J34" t="s">
        <v>185</v>
      </c>
    </row>
    <row r="35" spans="1:10" x14ac:dyDescent="0.2">
      <c r="A35" s="1" t="s">
        <v>184</v>
      </c>
      <c r="B35" s="1"/>
      <c r="C35" s="12">
        <f>C$32/(C$9*365*C$13/325853.383688)</f>
        <v>458.49056166379773</v>
      </c>
      <c r="D35" t="s">
        <v>186</v>
      </c>
      <c r="F35" s="12">
        <f>F$32/(F$9*365*F$13/325853.383688)</f>
        <v>458.49056166379773</v>
      </c>
      <c r="G35" t="s">
        <v>186</v>
      </c>
      <c r="I35" s="12">
        <f>I$32/(I$9*365*I$13/325853.383688)</f>
        <v>458.49056166379779</v>
      </c>
      <c r="J35" t="s">
        <v>186</v>
      </c>
    </row>
    <row r="36" spans="1:10" x14ac:dyDescent="0.2">
      <c r="A36" s="1"/>
      <c r="B36" s="1"/>
      <c r="C36" s="12"/>
      <c r="F36" s="12"/>
      <c r="I36" s="12"/>
    </row>
    <row r="37" spans="1:10" x14ac:dyDescent="0.2">
      <c r="A37" s="6" t="s">
        <v>625</v>
      </c>
      <c r="B37" s="1"/>
      <c r="C37" s="5">
        <v>46400</v>
      </c>
      <c r="D37" t="s">
        <v>188</v>
      </c>
      <c r="F37" s="5">
        <v>46400</v>
      </c>
      <c r="G37" t="s">
        <v>188</v>
      </c>
      <c r="I37" s="5">
        <v>46400</v>
      </c>
      <c r="J37" t="s">
        <v>188</v>
      </c>
    </row>
    <row r="38" spans="1:10" x14ac:dyDescent="0.2">
      <c r="A38" s="6" t="s">
        <v>187</v>
      </c>
      <c r="C38" s="5">
        <v>19400</v>
      </c>
      <c r="D38" t="s">
        <v>188</v>
      </c>
      <c r="F38" s="5">
        <v>19400</v>
      </c>
      <c r="G38" t="s">
        <v>188</v>
      </c>
      <c r="I38" s="5">
        <v>19400</v>
      </c>
      <c r="J38" t="s">
        <v>188</v>
      </c>
    </row>
    <row r="39" spans="1:10" x14ac:dyDescent="0.2">
      <c r="A39" s="1" t="s">
        <v>626</v>
      </c>
      <c r="C39" s="9">
        <f xml:space="preserve"> C38 / C37</f>
        <v>0.41810344827586204</v>
      </c>
      <c r="F39" s="9">
        <f xml:space="preserve"> F38 / F37</f>
        <v>0.41810344827586204</v>
      </c>
      <c r="I39" s="9">
        <f xml:space="preserve"> I38 / I37</f>
        <v>0.41810344827586204</v>
      </c>
    </row>
    <row r="40" spans="1:10" x14ac:dyDescent="0.2">
      <c r="A40" s="1" t="s">
        <v>189</v>
      </c>
      <c r="C40" s="15">
        <f>(C$9*365*C$12^C$13/325853.383688)</f>
        <v>5383.0665904911402</v>
      </c>
      <c r="D40" t="s">
        <v>190</v>
      </c>
      <c r="F40" s="15">
        <f>(F$9*365*F$12^F$13/325853.383688)</f>
        <v>21532.266361964561</v>
      </c>
      <c r="G40" t="s">
        <v>190</v>
      </c>
      <c r="I40" s="15">
        <f>(I$9*365*I$12^I$13/325853.383688)</f>
        <v>852.27319498451277</v>
      </c>
      <c r="J40" t="s">
        <v>190</v>
      </c>
    </row>
    <row r="41" spans="1:10" x14ac:dyDescent="0.2">
      <c r="A41" s="1" t="s">
        <v>191</v>
      </c>
      <c r="C41" s="5">
        <f>C40*1233481.8375475*C38/1000/1000/1000</f>
        <v>128814.34847178361</v>
      </c>
      <c r="D41" t="s">
        <v>192</v>
      </c>
      <c r="F41" s="5">
        <f>F40*1233481.8375475*F38/1000/1000/1000</f>
        <v>515257.39388713444</v>
      </c>
      <c r="G41" t="s">
        <v>192</v>
      </c>
      <c r="I41" s="5">
        <f>I40*1233481.8375475*I38/1000/1000/1000</f>
        <v>20394.512028854326</v>
      </c>
      <c r="J41" t="s">
        <v>192</v>
      </c>
    </row>
    <row r="42" spans="1:10" x14ac:dyDescent="0.2">
      <c r="A42" t="s">
        <v>193</v>
      </c>
      <c r="C42" s="10">
        <f>C32/C41</f>
        <v>23.922761794486554</v>
      </c>
      <c r="D42" t="s">
        <v>194</v>
      </c>
      <c r="F42" s="10">
        <f>F32/F41</f>
        <v>23.922761794486554</v>
      </c>
      <c r="G42" t="s">
        <v>194</v>
      </c>
      <c r="I42" s="10">
        <f>I32/I41</f>
        <v>23.922761794486554</v>
      </c>
      <c r="J42" t="s">
        <v>194</v>
      </c>
    </row>
    <row r="44" spans="1:10" x14ac:dyDescent="0.2">
      <c r="A44" t="s">
        <v>453</v>
      </c>
      <c r="C44" s="5">
        <v>58700</v>
      </c>
      <c r="D44" t="s">
        <v>188</v>
      </c>
      <c r="F44" s="5">
        <v>58700</v>
      </c>
      <c r="G44" t="s">
        <v>188</v>
      </c>
      <c r="I44" s="5">
        <v>58700</v>
      </c>
      <c r="J44" t="s">
        <v>188</v>
      </c>
    </row>
    <row r="45" spans="1:10" x14ac:dyDescent="0.2">
      <c r="A45" s="1" t="s">
        <v>195</v>
      </c>
      <c r="C45" s="15">
        <f>((C$10-C$9)*365*C$13/325853.383688)</f>
        <v>2240.3914292294176</v>
      </c>
      <c r="D45" t="s">
        <v>190</v>
      </c>
      <c r="F45" s="15">
        <f>((F$10-F$9)*365*F$13/325853.383688)</f>
        <v>8961.5657169176702</v>
      </c>
      <c r="G45" t="s">
        <v>190</v>
      </c>
      <c r="I45" s="15">
        <f>((I$10-I$9)*365*I$13/325853.383688)</f>
        <v>354.70963052512815</v>
      </c>
      <c r="J45" t="s">
        <v>190</v>
      </c>
    </row>
    <row r="46" spans="1:10" x14ac:dyDescent="0.2">
      <c r="A46" s="1" t="s">
        <v>454</v>
      </c>
      <c r="C46" s="5">
        <f>C45*1233481.8375475*C44/1000/1000/1000</f>
        <v>162216.40143905726</v>
      </c>
      <c r="D46" t="s">
        <v>192</v>
      </c>
      <c r="F46" s="5">
        <f>F45*1233481.8375475*F44/1000/1000/1000</f>
        <v>648865.60575622902</v>
      </c>
      <c r="G46" t="s">
        <v>192</v>
      </c>
      <c r="I46" s="5">
        <f>I45*1233481.8375475*I44/1000/1000/1000</f>
        <v>25682.886958443079</v>
      </c>
      <c r="J46" t="s">
        <v>192</v>
      </c>
    </row>
    <row r="47" spans="1:10" x14ac:dyDescent="0.2">
      <c r="A47" t="s">
        <v>196</v>
      </c>
      <c r="C47" s="8">
        <f>C28/C9*1000000</f>
        <v>4179.7759640083286</v>
      </c>
      <c r="D47" t="s">
        <v>197</v>
      </c>
      <c r="F47" s="8">
        <f>F28/F9*1000000</f>
        <v>4179.7759640083286</v>
      </c>
      <c r="G47" t="s">
        <v>197</v>
      </c>
      <c r="I47" s="8">
        <f>I28/I9*1000000</f>
        <v>4179.7759640083286</v>
      </c>
      <c r="J47" t="s">
        <v>197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65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7" zoomScale="110" zoomScaleNormal="110" workbookViewId="0">
      <selection activeCell="F40" sqref="F40"/>
    </sheetView>
  </sheetViews>
  <sheetFormatPr defaultColWidth="11.5703125" defaultRowHeight="12.75" x14ac:dyDescent="0.2"/>
  <cols>
    <col min="1" max="1" width="26.140625" customWidth="1"/>
    <col min="2" max="2" width="17.42578125" customWidth="1"/>
    <col min="3" max="3" width="12.42578125" customWidth="1"/>
  </cols>
  <sheetData>
    <row r="1" spans="1:5" x14ac:dyDescent="0.2">
      <c r="A1" s="137" t="s">
        <v>534</v>
      </c>
      <c r="B1" s="138" t="s">
        <v>388</v>
      </c>
      <c r="C1" s="137" t="s">
        <v>107</v>
      </c>
      <c r="D1" s="139"/>
    </row>
    <row r="2" spans="1:5" x14ac:dyDescent="0.2">
      <c r="A2" s="137"/>
      <c r="B2" s="137"/>
      <c r="C2" s="139"/>
      <c r="D2" s="139"/>
    </row>
    <row r="3" spans="1:5" x14ac:dyDescent="0.2">
      <c r="A3" s="137" t="s">
        <v>169</v>
      </c>
      <c r="B3" s="140">
        <f>'20MGD 60Effect VTE Capital Cost'!B33</f>
        <v>51156410.580740981</v>
      </c>
      <c r="C3" s="139" t="s">
        <v>110</v>
      </c>
      <c r="D3" s="139"/>
    </row>
    <row r="4" spans="1:5" x14ac:dyDescent="0.2">
      <c r="A4" s="139" t="s">
        <v>111</v>
      </c>
      <c r="B4" s="139">
        <v>30</v>
      </c>
      <c r="C4" s="139" t="s">
        <v>112</v>
      </c>
      <c r="D4" s="139"/>
    </row>
    <row r="5" spans="1:5" x14ac:dyDescent="0.2">
      <c r="A5" s="139" t="s">
        <v>113</v>
      </c>
      <c r="B5" s="141">
        <v>0.08</v>
      </c>
      <c r="C5" s="139" t="s">
        <v>114</v>
      </c>
      <c r="D5" s="139"/>
    </row>
    <row r="6" spans="1:5" x14ac:dyDescent="0.2">
      <c r="A6" s="139" t="s">
        <v>115</v>
      </c>
      <c r="B6" s="142">
        <f>B4*12*($B5/12*$B$3)/(1-POWER($B$5/12+1,-$B$4*12))</f>
        <v>135132342.51951319</v>
      </c>
      <c r="C6" s="139"/>
      <c r="D6" s="139"/>
    </row>
    <row r="7" spans="1:5" x14ac:dyDescent="0.2">
      <c r="A7" s="137" t="s">
        <v>116</v>
      </c>
      <c r="B7" s="143">
        <f>B6/B4</f>
        <v>4504411.4173171064</v>
      </c>
      <c r="C7" s="139"/>
      <c r="D7" s="144">
        <f>B7/(B$10*365*B$15/264.172)</f>
        <v>0.17158462479242895</v>
      </c>
    </row>
    <row r="8" spans="1:5" x14ac:dyDescent="0.2">
      <c r="A8" s="137"/>
      <c r="B8" s="143"/>
      <c r="C8" s="139"/>
      <c r="D8" s="144"/>
    </row>
    <row r="9" spans="1:5" x14ac:dyDescent="0.2">
      <c r="A9" s="145" t="s">
        <v>389</v>
      </c>
      <c r="B9" s="139">
        <v>56</v>
      </c>
      <c r="C9" s="139" t="s">
        <v>533</v>
      </c>
      <c r="D9" s="144"/>
    </row>
    <row r="10" spans="1:5" ht="14.25" x14ac:dyDescent="0.2">
      <c r="A10" s="139" t="s">
        <v>198</v>
      </c>
      <c r="B10" s="146">
        <f xml:space="preserve"> 5000000 * B9/14</f>
        <v>20000000</v>
      </c>
      <c r="C10" s="139" t="s">
        <v>128</v>
      </c>
      <c r="D10" s="147">
        <f xml:space="preserve"> B10/264.172</f>
        <v>75708.250685159655</v>
      </c>
      <c r="E10" t="s">
        <v>521</v>
      </c>
    </row>
    <row r="11" spans="1:5" ht="14.25" x14ac:dyDescent="0.2">
      <c r="A11" s="139" t="s">
        <v>198</v>
      </c>
      <c r="B11" s="146">
        <f xml:space="preserve"> B10/264.172</f>
        <v>75708.250685159655</v>
      </c>
      <c r="C11" s="139" t="s">
        <v>521</v>
      </c>
      <c r="D11" s="147"/>
    </row>
    <row r="12" spans="1:5" x14ac:dyDescent="0.2">
      <c r="A12" s="139" t="s">
        <v>199</v>
      </c>
      <c r="B12" s="148">
        <v>5</v>
      </c>
      <c r="C12" s="139"/>
      <c r="D12" s="139"/>
    </row>
    <row r="13" spans="1:5" x14ac:dyDescent="0.2">
      <c r="A13" s="139" t="s">
        <v>200</v>
      </c>
      <c r="B13" s="146">
        <f>B10/B12</f>
        <v>4000000</v>
      </c>
      <c r="C13" s="139" t="s">
        <v>128</v>
      </c>
      <c r="D13" s="139"/>
    </row>
    <row r="14" spans="1:5" x14ac:dyDescent="0.2">
      <c r="A14" s="139" t="s">
        <v>173</v>
      </c>
      <c r="B14" s="149">
        <f>B10/(B10+B13)</f>
        <v>0.83333333333333337</v>
      </c>
      <c r="C14" s="139"/>
      <c r="D14" s="139"/>
    </row>
    <row r="15" spans="1:5" x14ac:dyDescent="0.2">
      <c r="A15" s="139" t="s">
        <v>130</v>
      </c>
      <c r="B15" s="150">
        <v>0.95</v>
      </c>
      <c r="C15" s="139"/>
      <c r="D15" s="139"/>
    </row>
    <row r="16" spans="1:5" x14ac:dyDescent="0.2">
      <c r="A16" s="145" t="s">
        <v>131</v>
      </c>
      <c r="B16" s="151">
        <f>B3/B10</f>
        <v>2.5578205290370493</v>
      </c>
      <c r="C16" s="139"/>
      <c r="D16" s="139"/>
    </row>
    <row r="17" spans="1:7" x14ac:dyDescent="0.2">
      <c r="A17" s="145"/>
      <c r="B17" s="151"/>
      <c r="C17" s="139"/>
      <c r="D17" s="139"/>
    </row>
    <row r="18" spans="1:7" x14ac:dyDescent="0.2">
      <c r="A18" s="137" t="s">
        <v>133</v>
      </c>
      <c r="B18" s="151"/>
      <c r="C18" s="139"/>
      <c r="D18" s="139"/>
    </row>
    <row r="19" spans="1:7" x14ac:dyDescent="0.2">
      <c r="A19" s="139" t="s">
        <v>181</v>
      </c>
      <c r="B19" s="146">
        <f xml:space="preserve"> '20MGD 60Effect Pump Specs'!H11</f>
        <v>1579.2673995414198</v>
      </c>
      <c r="C19" s="139" t="s">
        <v>531</v>
      </c>
      <c r="D19" s="139"/>
    </row>
    <row r="20" spans="1:7" x14ac:dyDescent="0.2">
      <c r="A20" s="139" t="s">
        <v>151</v>
      </c>
      <c r="B20" s="152">
        <f>'Energy Cost Rates'!F23</f>
        <v>8.5000000000000006E-2</v>
      </c>
      <c r="C20" s="139" t="s">
        <v>183</v>
      </c>
      <c r="D20" s="139"/>
    </row>
    <row r="21" spans="1:7" x14ac:dyDescent="0.2">
      <c r="A21" s="139" t="s">
        <v>153</v>
      </c>
      <c r="B21" s="142">
        <f>B19*B20*24*365*B15</f>
        <v>1117126.380413614</v>
      </c>
      <c r="C21" s="139" t="s">
        <v>114</v>
      </c>
      <c r="D21" s="139"/>
    </row>
    <row r="22" spans="1:7" x14ac:dyDescent="0.2">
      <c r="A22" s="139" t="s">
        <v>539</v>
      </c>
      <c r="B22" s="146">
        <v>120000</v>
      </c>
      <c r="C22" s="139" t="s">
        <v>203</v>
      </c>
      <c r="D22" s="139"/>
      <c r="F22" s="5">
        <f xml:space="preserve"> 5 * B22</f>
        <v>600000</v>
      </c>
      <c r="G22" s="139" t="s">
        <v>203</v>
      </c>
    </row>
    <row r="23" spans="1:7" x14ac:dyDescent="0.2">
      <c r="A23" s="139" t="s">
        <v>527</v>
      </c>
      <c r="B23" s="153">
        <v>4.4999999999999997E-3</v>
      </c>
      <c r="C23" s="139" t="s">
        <v>205</v>
      </c>
      <c r="D23" s="153"/>
    </row>
    <row r="24" spans="1:7" x14ac:dyDescent="0.2">
      <c r="A24" s="139" t="s">
        <v>528</v>
      </c>
      <c r="B24" s="142">
        <f>B22*B23*24*365*B15</f>
        <v>4493880</v>
      </c>
      <c r="C24" s="139" t="s">
        <v>114</v>
      </c>
      <c r="D24" s="139"/>
      <c r="F24" s="114">
        <f xml:space="preserve"> 5 * B24</f>
        <v>22469400</v>
      </c>
      <c r="G24" s="139" t="s">
        <v>114</v>
      </c>
    </row>
    <row r="25" spans="1:7" x14ac:dyDescent="0.2">
      <c r="A25" s="139" t="s">
        <v>202</v>
      </c>
      <c r="B25" s="146">
        <f xml:space="preserve"> B22 * B42</f>
        <v>100068000</v>
      </c>
      <c r="C25" s="139" t="s">
        <v>529</v>
      </c>
      <c r="D25" s="139"/>
    </row>
    <row r="26" spans="1:7" ht="15.75" x14ac:dyDescent="0.3">
      <c r="A26" s="139" t="s">
        <v>202</v>
      </c>
      <c r="B26" s="146">
        <f xml:space="preserve"> B25 * 0.00029307107017</f>
        <v>29327.035849771561</v>
      </c>
      <c r="C26" s="139" t="s">
        <v>530</v>
      </c>
      <c r="D26" s="139"/>
    </row>
    <row r="27" spans="1:7" x14ac:dyDescent="0.2">
      <c r="A27" s="137" t="s">
        <v>154</v>
      </c>
      <c r="B27" s="143">
        <f>SUM(B$21,B$24)</f>
        <v>5611006.3804136142</v>
      </c>
      <c r="C27" s="139"/>
      <c r="D27" s="139"/>
    </row>
    <row r="28" spans="1:7" x14ac:dyDescent="0.2">
      <c r="A28" s="139" t="s">
        <v>201</v>
      </c>
      <c r="B28" s="142">
        <f>0.51/1000*$B$10*365</f>
        <v>3723000</v>
      </c>
      <c r="C28" s="139" t="s">
        <v>114</v>
      </c>
      <c r="D28" s="139"/>
    </row>
    <row r="29" spans="1:7" x14ac:dyDescent="0.2">
      <c r="A29" s="139" t="s">
        <v>175</v>
      </c>
      <c r="B29" s="142">
        <f>0.06/1000*$B$10*365</f>
        <v>438000</v>
      </c>
      <c r="C29" s="139" t="s">
        <v>114</v>
      </c>
      <c r="D29" s="139"/>
    </row>
    <row r="30" spans="1:7" x14ac:dyDescent="0.2">
      <c r="A30" s="139" t="s">
        <v>180</v>
      </c>
      <c r="B30" s="142">
        <f xml:space="preserve"> 0.02/1000*$B$10*365</f>
        <v>146000.00000000003</v>
      </c>
      <c r="C30" s="139" t="s">
        <v>114</v>
      </c>
      <c r="D30" s="139"/>
    </row>
    <row r="31" spans="1:7" x14ac:dyDescent="0.2">
      <c r="A31" s="137" t="s">
        <v>140</v>
      </c>
      <c r="B31" s="143">
        <f>SUM(B$28:B$30)</f>
        <v>4307000</v>
      </c>
      <c r="C31" s="139"/>
      <c r="D31" s="139"/>
    </row>
    <row r="32" spans="1:7" x14ac:dyDescent="0.2">
      <c r="A32" s="137" t="s">
        <v>155</v>
      </c>
      <c r="B32" s="143">
        <f>SUM(B$7,B$27,B$28:B$30)</f>
        <v>14422417.797730722</v>
      </c>
      <c r="C32" s="139"/>
      <c r="D32" s="139"/>
    </row>
    <row r="33" spans="1:6" x14ac:dyDescent="0.2">
      <c r="A33" s="139"/>
      <c r="B33" s="139"/>
      <c r="C33" s="139"/>
      <c r="D33" s="139"/>
    </row>
    <row r="34" spans="1:6" x14ac:dyDescent="0.2">
      <c r="A34" s="137" t="s">
        <v>207</v>
      </c>
      <c r="B34" s="143">
        <f>B32/(B10*365*B15/1000)</f>
        <v>2.0796564957073858</v>
      </c>
      <c r="C34" s="139" t="s">
        <v>185</v>
      </c>
      <c r="D34" s="139"/>
    </row>
    <row r="35" spans="1:6" ht="14.25" x14ac:dyDescent="0.2">
      <c r="A35" s="137" t="s">
        <v>207</v>
      </c>
      <c r="B35" s="143">
        <f>B32/(B10*365*B15/264.172)</f>
        <v>0.54938701578401161</v>
      </c>
      <c r="C35" s="139" t="s">
        <v>522</v>
      </c>
      <c r="D35" s="139"/>
    </row>
    <row r="36" spans="1:6" x14ac:dyDescent="0.2">
      <c r="A36" s="137" t="s">
        <v>207</v>
      </c>
      <c r="B36" s="143">
        <f>B$32/(B$10*365*B$15/325853.383688)</f>
        <v>677.66310603498027</v>
      </c>
      <c r="C36" s="139" t="s">
        <v>186</v>
      </c>
      <c r="D36" s="139"/>
    </row>
    <row r="37" spans="1:6" ht="14.25" x14ac:dyDescent="0.2">
      <c r="A37" s="137" t="s">
        <v>526</v>
      </c>
      <c r="B37" s="143">
        <f>B7/(B10*365*B15/264.172)</f>
        <v>0.17158462479242895</v>
      </c>
      <c r="C37" s="139" t="s">
        <v>522</v>
      </c>
      <c r="D37" s="139"/>
    </row>
    <row r="38" spans="1:6" x14ac:dyDescent="0.2">
      <c r="A38" s="139"/>
      <c r="B38" s="139"/>
      <c r="C38" s="139"/>
      <c r="D38" s="139"/>
    </row>
    <row r="39" spans="1:6" x14ac:dyDescent="0.2">
      <c r="A39" s="139" t="s">
        <v>208</v>
      </c>
      <c r="B39" s="146">
        <f>(B$10*365*B$15/325853.383688)</f>
        <v>21282.577831507697</v>
      </c>
      <c r="C39" s="139" t="s">
        <v>190</v>
      </c>
      <c r="D39" s="139"/>
      <c r="F39" s="5"/>
    </row>
    <row r="40" spans="1:6" x14ac:dyDescent="0.2">
      <c r="A40" s="139" t="s">
        <v>308</v>
      </c>
      <c r="B40" s="146">
        <f>(B$13*365*B$15/325853.383688)</f>
        <v>4256.5155663015394</v>
      </c>
      <c r="C40" s="139" t="s">
        <v>190</v>
      </c>
      <c r="D40" s="139"/>
    </row>
    <row r="41" spans="1:6" x14ac:dyDescent="0.2">
      <c r="A41" s="139" t="s">
        <v>568</v>
      </c>
      <c r="B41" s="146">
        <f xml:space="preserve"> 1233.48 * 0.2607 * SUM(B40)</f>
        <v>1368760.202162127</v>
      </c>
      <c r="C41" s="139" t="s">
        <v>489</v>
      </c>
      <c r="D41" s="139"/>
    </row>
    <row r="42" spans="1:6" ht="14.25" customHeight="1" x14ac:dyDescent="0.2">
      <c r="A42" s="145" t="s">
        <v>525</v>
      </c>
      <c r="B42" s="146">
        <v>833.9</v>
      </c>
      <c r="C42" s="139" t="s">
        <v>72</v>
      </c>
      <c r="D42" s="139"/>
    </row>
    <row r="43" spans="1:6" ht="17.25" customHeight="1" x14ac:dyDescent="0.3">
      <c r="A43" s="155" t="s">
        <v>523</v>
      </c>
      <c r="B43" s="156">
        <f xml:space="preserve"> 24 * B22 * B42 * 0.00029307107017 / B11</f>
        <v>9.2968580574070252</v>
      </c>
      <c r="C43" s="139" t="s">
        <v>524</v>
      </c>
      <c r="D43" s="139"/>
    </row>
    <row r="44" spans="1:6" ht="14.25" x14ac:dyDescent="0.2">
      <c r="A44" s="139" t="s">
        <v>535</v>
      </c>
      <c r="B44" s="154">
        <f xml:space="preserve"> 24 * B19/B11</f>
        <v>0.50063787296598716</v>
      </c>
      <c r="C44" s="139" t="s">
        <v>536</v>
      </c>
      <c r="D44" s="139"/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12</vt:i4>
      </vt:variant>
    </vt:vector>
  </HeadingPairs>
  <TitlesOfParts>
    <vt:vector size="36" baseType="lpstr">
      <vt:lpstr>Financial and Impact Charts</vt:lpstr>
      <vt:lpstr>Annual Cost &amp; Revenue 20 MGD US</vt:lpstr>
      <vt:lpstr>Annual Cost &amp; Revenue, Schedule</vt:lpstr>
      <vt:lpstr>Management Team Cost</vt:lpstr>
      <vt:lpstr>Engineering Team Cost</vt:lpstr>
      <vt:lpstr>Energy Cost Rates</vt:lpstr>
      <vt:lpstr>Levellized Salt Refinery Plant </vt:lpstr>
      <vt:lpstr>Levellized Salt Sep Plant</vt:lpstr>
      <vt:lpstr>20MGD 60 Effect Levellized VTE</vt:lpstr>
      <vt:lpstr>20MGD 60Effect VTE Capital Cost</vt:lpstr>
      <vt:lpstr>20MGD 60Effect VTE Excavation</vt:lpstr>
      <vt:lpstr>20MGD 60Effect Pump Specs</vt:lpstr>
      <vt:lpstr>20MGD 60Effect Evaporator Cost</vt:lpstr>
      <vt:lpstr>20MGD Adjacent Tube Bundle</vt:lpstr>
      <vt:lpstr>20 MGD Stacked Tube Bundle</vt:lpstr>
      <vt:lpstr>5MGD 15 Effect Levellized VTE</vt:lpstr>
      <vt:lpstr>5MGD 15 Effect VTE Capital Cost</vt:lpstr>
      <vt:lpstr>5 MGD 15 Effect VTE Excavation </vt:lpstr>
      <vt:lpstr>5MGD 15 Effect Pump Specs kW</vt:lpstr>
      <vt:lpstr>5MGD 15 Effect Evaporator Costs</vt:lpstr>
      <vt:lpstr>5 MGD Adjacent Tube Bundle Spec</vt:lpstr>
      <vt:lpstr>10 MGD Stacked Tube Bundle Spec</vt:lpstr>
      <vt:lpstr>Salt Evaporation Pond Costs</vt:lpstr>
      <vt:lpstr>IID Cost Basis 2013</vt:lpstr>
      <vt:lpstr>'20 MGD Stacked Tube Bundle'!Print_Area</vt:lpstr>
      <vt:lpstr>'20MGD 60 Effect Levellized VTE'!Print_Area</vt:lpstr>
      <vt:lpstr>'20MGD 60Effect Evaporator Cost'!Print_Area</vt:lpstr>
      <vt:lpstr>'20MGD 60Effect Pump Specs'!Print_Area</vt:lpstr>
      <vt:lpstr>'20MGD 60Effect VTE Capital Cost'!Print_Area</vt:lpstr>
      <vt:lpstr>'5MGD 15 Effect Evaporator Costs'!Print_Area</vt:lpstr>
      <vt:lpstr>'5MGD 15 Effect Levellized VTE'!Print_Area</vt:lpstr>
      <vt:lpstr>'5MGD 15 Effect Pump Specs kW'!Print_Area</vt:lpstr>
      <vt:lpstr>'5MGD 15 Effect VTE Capital Cost'!Print_Area</vt:lpstr>
      <vt:lpstr>'Levellized Salt Refinery Plant '!Print_Area</vt:lpstr>
      <vt:lpstr>'Levellized Salt Sep Plant'!Print_Area</vt:lpstr>
      <vt:lpstr>'Salt Evaporation Pond Costs'!Print_Area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Sephton</cp:lastModifiedBy>
  <cp:lastPrinted>2022-04-03T04:42:27Z</cp:lastPrinted>
  <dcterms:created xsi:type="dcterms:W3CDTF">2014-08-13T14:55:42Z</dcterms:created>
  <dcterms:modified xsi:type="dcterms:W3CDTF">2022-04-03T04:46:08Z</dcterms:modified>
</cp:coreProperties>
</file>